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592D9DBB-A2FE-405F-9975-9F8E61E55AC5}" xr6:coauthVersionLast="47" xr6:coauthVersionMax="47" xr10:uidLastSave="{00000000-0000-0000-0000-000000000000}"/>
  <bookViews>
    <workbookView xWindow="-120" yWindow="-120" windowWidth="20730" windowHeight="11760" tabRatio="690" xr2:uid="{00000000-000D-0000-FFFF-FFFF00000000}"/>
  </bookViews>
  <sheets>
    <sheet name="BOQ Busetsa" sheetId="9" r:id="rId1"/>
  </sheets>
  <externalReferences>
    <externalReference r:id="rId2"/>
  </externalReferences>
  <definedNames>
    <definedName name="_xlnm.Print_Area" localSheetId="0">'BOQ Busetsa'!$A$1:$G$567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 i="9" l="1"/>
  <c r="G61" i="9"/>
  <c r="G62" i="9"/>
  <c r="G431" i="9"/>
  <c r="G403" i="9" l="1"/>
  <c r="G402" i="9"/>
  <c r="G400" i="9"/>
  <c r="B401" i="9"/>
  <c r="G525" i="9" l="1"/>
  <c r="G523" i="9"/>
  <c r="G522" i="9"/>
  <c r="G521" i="9"/>
  <c r="G519" i="9"/>
  <c r="E517" i="9"/>
  <c r="G517" i="9" s="1"/>
  <c r="E515" i="9"/>
  <c r="G515" i="9" s="1"/>
  <c r="G513" i="9"/>
  <c r="G512" i="9"/>
  <c r="G511" i="9"/>
  <c r="G508" i="9"/>
  <c r="G506" i="9"/>
  <c r="G505" i="9"/>
  <c r="E500" i="9"/>
  <c r="G500" i="9" s="1"/>
  <c r="E499" i="9"/>
  <c r="G499" i="9" s="1"/>
  <c r="G498" i="9"/>
  <c r="E497" i="9"/>
  <c r="G497" i="9" s="1"/>
  <c r="E496" i="9"/>
  <c r="G496" i="9" s="1"/>
  <c r="E494" i="9"/>
  <c r="G494" i="9" s="1"/>
  <c r="E492" i="9"/>
  <c r="G492" i="9" s="1"/>
  <c r="E490" i="9"/>
  <c r="G490" i="9" s="1"/>
  <c r="E488" i="9"/>
  <c r="G488" i="9" s="1"/>
  <c r="E487" i="9"/>
  <c r="G487" i="9" s="1"/>
  <c r="E485" i="9"/>
  <c r="G485" i="9" s="1"/>
  <c r="E484" i="9"/>
  <c r="G484" i="9" s="1"/>
  <c r="E483" i="9"/>
  <c r="G483" i="9" s="1"/>
  <c r="E482" i="9"/>
  <c r="G482" i="9" s="1"/>
  <c r="E481" i="9"/>
  <c r="G481" i="9" s="1"/>
  <c r="E479" i="9"/>
  <c r="G479" i="9" s="1"/>
  <c r="E478" i="9"/>
  <c r="G478" i="9" s="1"/>
  <c r="G476" i="9"/>
  <c r="G474" i="9"/>
  <c r="E467" i="9"/>
  <c r="G467" i="9" s="1"/>
  <c r="E466" i="9"/>
  <c r="E465" i="9"/>
  <c r="G465" i="9" s="1"/>
  <c r="E463" i="9"/>
  <c r="G463" i="9" s="1"/>
  <c r="E461" i="9"/>
  <c r="G461" i="9" s="1"/>
  <c r="E468" i="9" l="1"/>
  <c r="G468" i="9" s="1"/>
  <c r="G466" i="9"/>
  <c r="E501" i="9"/>
  <c r="G501" i="9" s="1"/>
  <c r="E470" i="9"/>
  <c r="G470" i="9" s="1"/>
  <c r="E472" i="9" l="1"/>
  <c r="G472" i="9" s="1"/>
  <c r="G527" i="9" s="1"/>
  <c r="G293" i="9" l="1"/>
  <c r="A289" i="9"/>
  <c r="A290" i="9" s="1"/>
  <c r="A292" i="9" s="1"/>
  <c r="G334" i="9"/>
  <c r="E292" i="9"/>
  <c r="G292" i="9" s="1"/>
  <c r="E290" i="9"/>
  <c r="G290" i="9" s="1"/>
  <c r="E289" i="9"/>
  <c r="G289" i="9" s="1"/>
  <c r="E288" i="9"/>
  <c r="G288" i="9" s="1"/>
  <c r="G286" i="9"/>
  <c r="G285" i="9"/>
  <c r="E282" i="9"/>
  <c r="G282" i="9" s="1"/>
  <c r="G281" i="9"/>
  <c r="E276" i="9"/>
  <c r="E278" i="9" s="1"/>
  <c r="G278" i="9" s="1"/>
  <c r="E274" i="9"/>
  <c r="G274" i="9" s="1"/>
  <c r="G272" i="9"/>
  <c r="G270" i="9"/>
  <c r="E264" i="9"/>
  <c r="E267" i="9" s="1"/>
  <c r="G267" i="9" s="1"/>
  <c r="E262" i="9"/>
  <c r="G262" i="9" s="1"/>
  <c r="G261" i="9"/>
  <c r="E260" i="9"/>
  <c r="G260" i="9" s="1"/>
  <c r="E256" i="9"/>
  <c r="G256" i="9" s="1"/>
  <c r="E255" i="9"/>
  <c r="G255" i="9" s="1"/>
  <c r="E254" i="9"/>
  <c r="G254" i="9" s="1"/>
  <c r="E253" i="9"/>
  <c r="G253" i="9" s="1"/>
  <c r="E252" i="9"/>
  <c r="G252" i="9" s="1"/>
  <c r="D252" i="9"/>
  <c r="E251" i="9"/>
  <c r="G251" i="9" s="1"/>
  <c r="E250" i="9"/>
  <c r="G250" i="9" s="1"/>
  <c r="E248" i="9"/>
  <c r="G248" i="9" s="1"/>
  <c r="G247" i="9"/>
  <c r="G246" i="9"/>
  <c r="E245" i="9"/>
  <c r="G245" i="9" s="1"/>
  <c r="E244" i="9"/>
  <c r="G244" i="9" s="1"/>
  <c r="G243" i="9"/>
  <c r="E242" i="9"/>
  <c r="G242" i="9" s="1"/>
  <c r="E241" i="9"/>
  <c r="G241" i="9" s="1"/>
  <c r="G239" i="9"/>
  <c r="G561" i="9"/>
  <c r="G565" i="9" s="1"/>
  <c r="E300" i="9"/>
  <c r="G300" i="9" s="1"/>
  <c r="E304" i="9"/>
  <c r="G304" i="9" s="1"/>
  <c r="E305" i="9"/>
  <c r="G305" i="9" s="1"/>
  <c r="E306" i="9"/>
  <c r="G306" i="9" s="1"/>
  <c r="E307" i="9"/>
  <c r="G307" i="9" s="1"/>
  <c r="E221" i="9"/>
  <c r="G221" i="9" s="1"/>
  <c r="E222" i="9"/>
  <c r="G222" i="9" s="1"/>
  <c r="E223" i="9"/>
  <c r="G223" i="9" s="1"/>
  <c r="E224" i="9"/>
  <c r="G224" i="9" s="1"/>
  <c r="E225" i="9"/>
  <c r="G225" i="9" s="1"/>
  <c r="E226" i="9"/>
  <c r="G226" i="9" s="1"/>
  <c r="E227" i="9"/>
  <c r="G227" i="9" s="1"/>
  <c r="E228" i="9"/>
  <c r="G228" i="9" s="1"/>
  <c r="G229" i="9"/>
  <c r="G230" i="9"/>
  <c r="G231" i="9"/>
  <c r="G257" i="9" l="1"/>
  <c r="G264" i="9"/>
  <c r="G265" i="9" s="1"/>
  <c r="G276" i="9"/>
  <c r="E303" i="9"/>
  <c r="G303" i="9" s="1"/>
  <c r="E302" i="9"/>
  <c r="G302" i="9" s="1"/>
  <c r="E301" i="9"/>
  <c r="G301" i="9" s="1"/>
  <c r="G232" i="9"/>
  <c r="G233" i="9" s="1"/>
  <c r="G143" i="9"/>
  <c r="G452" i="9"/>
  <c r="G294" i="9" l="1"/>
  <c r="G295" i="9" s="1"/>
  <c r="G296" i="9" s="1"/>
  <c r="G455" i="9" l="1"/>
  <c r="G454" i="9"/>
  <c r="G453" i="9"/>
  <c r="G451" i="9"/>
  <c r="G450" i="9"/>
  <c r="G449" i="9"/>
  <c r="G448" i="9"/>
  <c r="G447" i="9"/>
  <c r="G446" i="9"/>
  <c r="G445" i="9"/>
  <c r="G444" i="9"/>
  <c r="G443" i="9"/>
  <c r="G442" i="9"/>
  <c r="G441" i="9"/>
  <c r="G440" i="9"/>
  <c r="G439" i="9"/>
  <c r="G438" i="9"/>
  <c r="G437" i="9"/>
  <c r="G436" i="9"/>
  <c r="G435" i="9"/>
  <c r="G434" i="9"/>
  <c r="G433" i="9"/>
  <c r="G432" i="9"/>
  <c r="G456" i="9" l="1"/>
  <c r="G457" i="9" s="1"/>
  <c r="G364" i="9"/>
  <c r="G363" i="9"/>
  <c r="E359" i="9"/>
  <c r="G359" i="9" s="1"/>
  <c r="G358" i="9"/>
  <c r="E357" i="9"/>
  <c r="G357" i="9" s="1"/>
  <c r="E356" i="9"/>
  <c r="G356" i="9" s="1"/>
  <c r="E353" i="9"/>
  <c r="G353" i="9" s="1"/>
  <c r="G350" i="9"/>
  <c r="E349" i="9"/>
  <c r="G349" i="9" s="1"/>
  <c r="E348" i="9"/>
  <c r="G348" i="9" s="1"/>
  <c r="E347" i="9"/>
  <c r="G347" i="9" s="1"/>
  <c r="E346" i="9"/>
  <c r="G346" i="9" s="1"/>
  <c r="E345" i="9"/>
  <c r="G345" i="9" s="1"/>
  <c r="E344" i="9"/>
  <c r="G344" i="9" s="1"/>
  <c r="E340" i="9"/>
  <c r="G340" i="9" s="1"/>
  <c r="E337" i="9"/>
  <c r="E338" i="9" s="1"/>
  <c r="E336" i="9"/>
  <c r="G336" i="9" s="1"/>
  <c r="G351" i="9" l="1"/>
  <c r="G365" i="9"/>
  <c r="E339" i="9"/>
  <c r="G339" i="9" s="1"/>
  <c r="G338" i="9"/>
  <c r="G337" i="9"/>
  <c r="E354" i="9"/>
  <c r="G354" i="9" s="1"/>
  <c r="E355" i="9"/>
  <c r="G355" i="9" s="1"/>
  <c r="G332" i="9"/>
  <c r="G331" i="9"/>
  <c r="G330" i="9"/>
  <c r="G329" i="9"/>
  <c r="E328" i="9"/>
  <c r="G328" i="9" s="1"/>
  <c r="E327" i="9"/>
  <c r="G327" i="9" s="1"/>
  <c r="E326" i="9"/>
  <c r="G326" i="9" s="1"/>
  <c r="E325" i="9"/>
  <c r="G325" i="9" s="1"/>
  <c r="E324" i="9"/>
  <c r="G324" i="9" s="1"/>
  <c r="E323" i="9"/>
  <c r="G323" i="9" s="1"/>
  <c r="G320" i="9"/>
  <c r="G319" i="9"/>
  <c r="G318" i="9"/>
  <c r="G317" i="9"/>
  <c r="G316" i="9"/>
  <c r="E315" i="9"/>
  <c r="G315" i="9" s="1"/>
  <c r="E314" i="9"/>
  <c r="G314" i="9" s="1"/>
  <c r="E313" i="9"/>
  <c r="G313" i="9" s="1"/>
  <c r="E310" i="9"/>
  <c r="E311" i="9" s="1"/>
  <c r="E309" i="9"/>
  <c r="G309" i="9" s="1"/>
  <c r="E308" i="9"/>
  <c r="G308" i="9" s="1"/>
  <c r="G360" i="9" l="1"/>
  <c r="G361" i="9" s="1"/>
  <c r="G341" i="9"/>
  <c r="G333" i="9"/>
  <c r="G311" i="9"/>
  <c r="E312" i="9"/>
  <c r="G312" i="9" s="1"/>
  <c r="G310" i="9"/>
  <c r="G321" i="9" l="1"/>
  <c r="G366" i="9" s="1"/>
  <c r="G367" i="9" s="1"/>
  <c r="E113" i="9" l="1"/>
  <c r="E112" i="9"/>
  <c r="E110" i="9"/>
  <c r="E109" i="9"/>
  <c r="E108" i="9"/>
  <c r="E107" i="9"/>
  <c r="E105" i="9"/>
  <c r="E104" i="9"/>
  <c r="E103" i="9"/>
  <c r="E102" i="9"/>
  <c r="E114" i="9" s="1"/>
  <c r="E111" i="9" l="1"/>
  <c r="E411" i="9" l="1"/>
  <c r="G411" i="9" s="1"/>
  <c r="E412" i="9"/>
  <c r="G412" i="9" s="1"/>
  <c r="E414" i="9"/>
  <c r="G414" i="9" s="1"/>
  <c r="E415" i="9"/>
  <c r="G415" i="9" s="1"/>
  <c r="E416" i="9"/>
  <c r="G416" i="9" s="1"/>
  <c r="E417" i="9"/>
  <c r="G417" i="9" s="1"/>
  <c r="E418" i="9"/>
  <c r="G418" i="9" s="1"/>
  <c r="E419" i="9"/>
  <c r="G419" i="9" s="1"/>
  <c r="G420" i="9"/>
  <c r="G421" i="9"/>
  <c r="G422" i="9"/>
  <c r="E399" i="9"/>
  <c r="G399" i="9" s="1"/>
  <c r="E398" i="9"/>
  <c r="G398" i="9" s="1"/>
  <c r="E396" i="9"/>
  <c r="G396" i="9" s="1"/>
  <c r="E395" i="9"/>
  <c r="G395" i="9" s="1"/>
  <c r="E394" i="9"/>
  <c r="G394" i="9" s="1"/>
  <c r="G392" i="9"/>
  <c r="G391" i="9"/>
  <c r="E390" i="9"/>
  <c r="G390" i="9" s="1"/>
  <c r="E389" i="9"/>
  <c r="G389" i="9" s="1"/>
  <c r="E388" i="9"/>
  <c r="G388" i="9" s="1"/>
  <c r="E387" i="9"/>
  <c r="G387" i="9" s="1"/>
  <c r="E386" i="9"/>
  <c r="G386" i="9" s="1"/>
  <c r="E385" i="9"/>
  <c r="G385" i="9" s="1"/>
  <c r="E384" i="9"/>
  <c r="G384" i="9" s="1"/>
  <c r="E383" i="9"/>
  <c r="G383" i="9" s="1"/>
  <c r="G381" i="9"/>
  <c r="G380" i="9"/>
  <c r="G379" i="9"/>
  <c r="E378" i="9"/>
  <c r="G378" i="9" s="1"/>
  <c r="E377" i="9"/>
  <c r="G377" i="9" s="1"/>
  <c r="E376" i="9"/>
  <c r="G376" i="9" s="1"/>
  <c r="E375" i="9"/>
  <c r="G375" i="9" s="1"/>
  <c r="E374" i="9"/>
  <c r="G374" i="9" s="1"/>
  <c r="E373" i="9"/>
  <c r="G373" i="9" s="1"/>
  <c r="E372" i="9"/>
  <c r="G372" i="9" s="1"/>
  <c r="E371" i="9"/>
  <c r="G371" i="9" s="1"/>
  <c r="E370" i="9"/>
  <c r="G370" i="9" s="1"/>
  <c r="E413" i="9" l="1"/>
  <c r="G413" i="9" s="1"/>
  <c r="G423" i="9" s="1"/>
  <c r="G424" i="9" s="1"/>
  <c r="G425" i="9" s="1"/>
  <c r="E397" i="9"/>
  <c r="G397" i="9" s="1"/>
  <c r="G405" i="9" s="1"/>
  <c r="G406" i="9" s="1"/>
  <c r="G407" i="9" s="1"/>
  <c r="E144" i="9" l="1"/>
  <c r="G113" i="9" l="1"/>
  <c r="G112" i="9"/>
  <c r="G110" i="9"/>
  <c r="G109" i="9"/>
  <c r="G108" i="9"/>
  <c r="G107" i="9"/>
  <c r="G106" i="9"/>
  <c r="G105" i="9"/>
  <c r="G104" i="9"/>
  <c r="G103" i="9"/>
  <c r="G114" i="9"/>
  <c r="G102" i="9" l="1"/>
  <c r="G111" i="9"/>
  <c r="G115" i="9" l="1"/>
  <c r="G137" i="9"/>
  <c r="E140" i="9"/>
  <c r="G134" i="9" l="1"/>
  <c r="E97" i="9" l="1"/>
  <c r="E96" i="9"/>
  <c r="E94" i="9"/>
  <c r="E93" i="9"/>
  <c r="E92" i="9"/>
  <c r="E91" i="9"/>
  <c r="E89" i="9"/>
  <c r="E88" i="9"/>
  <c r="E87" i="9"/>
  <c r="E86" i="9"/>
  <c r="E98" i="9" s="1"/>
  <c r="E80" i="9"/>
  <c r="E79" i="9"/>
  <c r="E77" i="9"/>
  <c r="E76" i="9"/>
  <c r="E75" i="9"/>
  <c r="E74" i="9"/>
  <c r="E72" i="9"/>
  <c r="E71" i="9"/>
  <c r="E70" i="9"/>
  <c r="E81" i="9"/>
  <c r="E78" i="9" l="1"/>
  <c r="E95" i="9"/>
  <c r="G554" i="9"/>
  <c r="E553" i="9"/>
  <c r="G553" i="9" s="1"/>
  <c r="E552" i="9"/>
  <c r="G552" i="9" s="1"/>
  <c r="E551" i="9"/>
  <c r="G551" i="9" s="1"/>
  <c r="E550" i="9"/>
  <c r="G550" i="9" s="1"/>
  <c r="E549" i="9"/>
  <c r="G549" i="9" s="1"/>
  <c r="E548" i="9"/>
  <c r="G548" i="9" s="1"/>
  <c r="E547" i="9"/>
  <c r="G547" i="9" s="1"/>
  <c r="E546" i="9"/>
  <c r="G546" i="9" s="1"/>
  <c r="G545" i="9"/>
  <c r="G544" i="9"/>
  <c r="E543" i="9"/>
  <c r="G543" i="9" s="1"/>
  <c r="E542" i="9"/>
  <c r="G542" i="9" s="1"/>
  <c r="E541" i="9"/>
  <c r="G541" i="9" s="1"/>
  <c r="G540" i="9"/>
  <c r="E539" i="9"/>
  <c r="G539" i="9" s="1"/>
  <c r="E538" i="9"/>
  <c r="G538" i="9" s="1"/>
  <c r="E537" i="9"/>
  <c r="G537" i="9" s="1"/>
  <c r="E536" i="9"/>
  <c r="G536" i="9" s="1"/>
  <c r="E535" i="9"/>
  <c r="G535" i="9" s="1"/>
  <c r="E534" i="9"/>
  <c r="G534" i="9" s="1"/>
  <c r="E533" i="9"/>
  <c r="G533" i="9" s="1"/>
  <c r="E532" i="9"/>
  <c r="G532" i="9" s="1"/>
  <c r="E531" i="9"/>
  <c r="G531" i="9" s="1"/>
  <c r="G556" i="9" l="1"/>
  <c r="G558" i="9" s="1"/>
  <c r="G63" i="9" l="1"/>
  <c r="G80" i="9" l="1"/>
  <c r="G79" i="9"/>
  <c r="G77" i="9"/>
  <c r="G76" i="9"/>
  <c r="G75" i="9"/>
  <c r="G74" i="9"/>
  <c r="G73" i="9"/>
  <c r="G72" i="9"/>
  <c r="G71" i="9"/>
  <c r="G70" i="9"/>
  <c r="G78" i="9"/>
  <c r="E142" i="9"/>
  <c r="G139" i="9"/>
  <c r="G138" i="9"/>
  <c r="G136" i="9"/>
  <c r="G135" i="9"/>
  <c r="G69" i="9" l="1"/>
  <c r="G81" i="9"/>
  <c r="G82" i="9" l="1"/>
  <c r="E184" i="9"/>
  <c r="G184" i="9" s="1"/>
  <c r="E185" i="9"/>
  <c r="G185" i="9" s="1"/>
  <c r="E186" i="9"/>
  <c r="G186" i="9" s="1"/>
  <c r="E187" i="9"/>
  <c r="G187" i="9" s="1"/>
  <c r="E188" i="9"/>
  <c r="G188" i="9" s="1"/>
  <c r="E189" i="9"/>
  <c r="G189" i="9" s="1"/>
  <c r="E190" i="9"/>
  <c r="E193" i="9"/>
  <c r="G193" i="9" s="1"/>
  <c r="E194" i="9"/>
  <c r="G194" i="9" s="1"/>
  <c r="G195" i="9"/>
  <c r="G196" i="9"/>
  <c r="G197" i="9"/>
  <c r="G198" i="9"/>
  <c r="G190" i="9" l="1"/>
  <c r="E191" i="9"/>
  <c r="E192" i="9" l="1"/>
  <c r="G192" i="9" s="1"/>
  <c r="G191" i="9"/>
  <c r="G199" i="9" l="1"/>
  <c r="G200" i="9" s="1"/>
  <c r="G65" i="9" l="1"/>
  <c r="G215" i="9" l="1"/>
  <c r="G214" i="9"/>
  <c r="G179" i="9"/>
  <c r="G178" i="9"/>
  <c r="G177" i="9"/>
  <c r="E145" i="9" l="1"/>
  <c r="G145" i="9" s="1"/>
  <c r="G213" i="9" l="1"/>
  <c r="E212" i="9"/>
  <c r="G212" i="9" s="1"/>
  <c r="E211" i="9"/>
  <c r="G211" i="9" s="1"/>
  <c r="E210" i="9"/>
  <c r="G210" i="9" s="1"/>
  <c r="E209" i="9"/>
  <c r="G209" i="9" s="1"/>
  <c r="E208" i="9"/>
  <c r="G208" i="9" s="1"/>
  <c r="E207" i="9"/>
  <c r="G207" i="9" s="1"/>
  <c r="E206" i="9"/>
  <c r="G206" i="9" s="1"/>
  <c r="E205" i="9"/>
  <c r="G205" i="9" s="1"/>
  <c r="G176" i="9"/>
  <c r="E175" i="9"/>
  <c r="G175" i="9" s="1"/>
  <c r="E174" i="9"/>
  <c r="G174" i="9" s="1"/>
  <c r="E173" i="9"/>
  <c r="G173" i="9" s="1"/>
  <c r="E172" i="9"/>
  <c r="G172" i="9" s="1"/>
  <c r="E171" i="9"/>
  <c r="G171" i="9" s="1"/>
  <c r="E170" i="9"/>
  <c r="G170" i="9" s="1"/>
  <c r="E169" i="9"/>
  <c r="G169" i="9" s="1"/>
  <c r="E168" i="9"/>
  <c r="G168" i="9" s="1"/>
  <c r="E167" i="9"/>
  <c r="G167" i="9" s="1"/>
  <c r="G162" i="9"/>
  <c r="G161" i="9"/>
  <c r="G160" i="9"/>
  <c r="E159" i="9"/>
  <c r="G159" i="9" s="1"/>
  <c r="E158" i="9"/>
  <c r="G158" i="9" s="1"/>
  <c r="E157" i="9"/>
  <c r="G157" i="9" s="1"/>
  <c r="E156" i="9"/>
  <c r="G156" i="9" s="1"/>
  <c r="E155" i="9"/>
  <c r="G155" i="9" s="1"/>
  <c r="E154" i="9"/>
  <c r="G154" i="9" s="1"/>
  <c r="E153" i="9"/>
  <c r="G153" i="9" s="1"/>
  <c r="E152" i="9"/>
  <c r="G152" i="9" s="1"/>
  <c r="E151" i="9"/>
  <c r="G151" i="9" s="1"/>
  <c r="G144" i="9"/>
  <c r="G142" i="9"/>
  <c r="G141" i="9"/>
  <c r="G140" i="9"/>
  <c r="E129" i="9"/>
  <c r="G129" i="9" s="1"/>
  <c r="G128" i="9"/>
  <c r="G97" i="9"/>
  <c r="G96" i="9"/>
  <c r="G94" i="9"/>
  <c r="G93" i="9"/>
  <c r="G92" i="9"/>
  <c r="G91" i="9"/>
  <c r="G90" i="9"/>
  <c r="G89" i="9"/>
  <c r="G88" i="9"/>
  <c r="G87" i="9"/>
  <c r="G98" i="9"/>
  <c r="G146" i="9" l="1"/>
  <c r="G163" i="9"/>
  <c r="G164" i="9" s="1"/>
  <c r="G130" i="9"/>
  <c r="G180" i="9"/>
  <c r="G181" i="9" s="1"/>
  <c r="G216" i="9"/>
  <c r="G95" i="9"/>
  <c r="G86" i="9"/>
  <c r="G217" i="9" l="1"/>
  <c r="G99" i="9"/>
  <c r="G116" i="9" s="1"/>
  <c r="G147" i="9"/>
  <c r="G235" i="9" l="1"/>
  <c r="G567" i="9" l="1"/>
  <c r="G568" i="9" l="1"/>
  <c r="G569" i="9" s="1"/>
</calcChain>
</file>

<file path=xl/sharedStrings.xml><?xml version="1.0" encoding="utf-8"?>
<sst xmlns="http://schemas.openxmlformats.org/spreadsheetml/2006/main" count="1168" uniqueCount="790">
  <si>
    <t>CONFIDENTIAL</t>
  </si>
  <si>
    <t xml:space="preserve"> FOREWORD</t>
  </si>
  <si>
    <t>SITE PRELIMINARIES</t>
  </si>
  <si>
    <t>CATCHMENT OF SOURCES</t>
  </si>
  <si>
    <t>SUPPLY AND LAYING OF PIPES</t>
  </si>
  <si>
    <t>CIVIL WORKS</t>
  </si>
  <si>
    <t xml:space="preserve">The Contractor has to indicate in the Price Schedule, all the unit and contractual prices appearing in the bill of quantities. </t>
  </si>
  <si>
    <t xml:space="preserve">All the prices are to be indicated in the currency as required in the bid document. At the time of the unit and contractual price determination, the bidder takes into account the Instructions to bidders, the descriptions contained in the Price Schedule, the General and Particular Technical specifications, as those contained in the drawing which is also an integral part of the bidding document. </t>
  </si>
  <si>
    <t>The supply prices include all the costs of supplying and temporary storages up to the time of execution,   any intermediate transport, the transport to a warehouse of materials not used as indicated by the Client, and their eventual placement.</t>
  </si>
  <si>
    <t>If the bidder submits a Price Schedule and a Bill of Quantities according to his own criteria, he must strictly respect the format given in this bid document:</t>
  </si>
  <si>
    <t> Numbering of items</t>
  </si>
  <si>
    <t> Structure of subtotal and total</t>
  </si>
  <si>
    <t xml:space="preserve"> The quantities indicated in the bill </t>
  </si>
  <si>
    <t xml:space="preserve">General information: </t>
  </si>
  <si>
    <t>a) Water Quality Analysis</t>
  </si>
  <si>
    <t>The water Quality should be done by the contractor at each water source to ensure that water will not have negative effect on human health as well as on pipe material,to be on safe side ,it is recommended that per each sample three tests be carried out and the mean of them will be taken as the result of the sample. therefore the recommeded test to be done are:</t>
  </si>
  <si>
    <t xml:space="preserve">*E-coli ,faecal califorms and total califorms because they are the main indicators of pathogenic microorganisms that directly affect human health </t>
  </si>
  <si>
    <t>*Conductivity, PH, Temperature, and TDS because they are indicators of pipe corrision</t>
  </si>
  <si>
    <t>and Other parameters indicated on the Tender Documents</t>
  </si>
  <si>
    <t>b) Civil works</t>
  </si>
  <si>
    <t>All the civil and construction works will be carried out according to the drawings of the successiful bidder, and the requirements of the General and Particular Technical specifications. These drawings require the approval of the Representative of the Client.</t>
  </si>
  <si>
    <t xml:space="preserve">The prices include all the  civil works, the installation of equipments, the supply and fixing of covers, step irons, anchors, and all accruals indicated on the drawings. The prices also include the supply and fixing of watertight wall fittings. The wall fittings will be  in galvanized steel or in cast iron, their lengths will be given according to the thickness of the walls by ensuring a wall clearance of 15 cm on each side. The testing for tightness is also included in the prices of the hydraulic works. </t>
  </si>
  <si>
    <t xml:space="preserve"> </t>
  </si>
  <si>
    <t>c) Reinforced concrete works:</t>
  </si>
  <si>
    <t xml:space="preserve">* Supply and casting of reinforced concrete, including formwork and reinforcement </t>
  </si>
  <si>
    <t xml:space="preserve">* Structural stability of the works according to the General provisions of the technical clauses and drawings of reinforcement </t>
  </si>
  <si>
    <t xml:space="preserve">* Supply and cast reinforced concrete conforming to the standards and the technical specifications, including transport, additives, factors of safety, etc. </t>
  </si>
  <si>
    <t>* Equipments and labour necessary to make, place, vibrate and curing of concrete</t>
  </si>
  <si>
    <t xml:space="preserve">* Supply, placement, adjustment, rubber seals for tightness, and dilation of dummy joints </t>
  </si>
  <si>
    <t xml:space="preserve">* Any accruals for chanals of conduits, sleeves, etc, for the installation of the equipments and various machines </t>
  </si>
  <si>
    <t xml:space="preserve">* Supply and fix mild steels and (or) high-strength steels meeting the standards and the technical specifications, including terms of supply and labour resulting from the fabrication of the concrete, the reinforcements, the off cuts, bindings and adjustment between prefabricated lengths and real lengths. </t>
  </si>
  <si>
    <t xml:space="preserve">*Tests in accordance with the technical specifications including all accruals. </t>
  </si>
  <si>
    <t>* The price for the laying of the pipes comprises of the price for the placement, the pressure tests, and all other accruals.</t>
  </si>
  <si>
    <t xml:space="preserve">Dosage for concrete classes are: </t>
  </si>
  <si>
    <t>Class A: dosage is 350 kg/m3</t>
  </si>
  <si>
    <t>Class B: dosage is 250 kg/m3</t>
  </si>
  <si>
    <t>Class C: Is a blinding concrete and the dosage is 200 kg/m3</t>
  </si>
  <si>
    <t>The cement to the sand proportion of cement mortar classes are:</t>
  </si>
  <si>
    <t>Class B: 1:3</t>
  </si>
  <si>
    <t>Class D: 1:5</t>
  </si>
  <si>
    <t xml:space="preserve">By signing the tender, the bidder acknowledges the priority of the texts of this Tender Document. </t>
  </si>
  <si>
    <t>BUSETSA DRINKING WATER SUPPLY SYSTEM IN KAGEYO SECTOR OF GATSIBO DISTRICT  (23 km)</t>
  </si>
  <si>
    <t>Detailed Quantity Estimate</t>
  </si>
  <si>
    <t>Item N°</t>
  </si>
  <si>
    <t xml:space="preserve">DESCRIPTION </t>
  </si>
  <si>
    <t>UNIT</t>
  </si>
  <si>
    <t>QTY</t>
  </si>
  <si>
    <t>RATE DDP EURO ICLUDING ALL TAXES</t>
  </si>
  <si>
    <t xml:space="preserve">Preparation of the site according to technical specifications;acces road, mobilization of the material and its transport on the site, installation of the site, storage, guarding, including the toilet of the personnel. The installation includes the water connection  on the existing network. Site preparation also includes, site clearance, removal of top soil, levelling or any shaping necessary to the installations of the site together with all the cut and fill necessary to this end. The estimated cost for this item is maintained all through to the completion of the works. </t>
  </si>
  <si>
    <t>LS</t>
  </si>
  <si>
    <t>Putting in place a site billboards according to the client's instructions, and including and all accruals</t>
  </si>
  <si>
    <t>Ls</t>
  </si>
  <si>
    <t>Design review and production of work execution documents, and including all accruals, and as built plans documents (soft and hard copies)</t>
  </si>
  <si>
    <t>Km</t>
  </si>
  <si>
    <t>SUBTOTAL DIVISION 1:</t>
  </si>
  <si>
    <t>CATCHMENT OF NYAKAGEZI SOURCE 2.5 l/s</t>
  </si>
  <si>
    <t>2.1.1</t>
  </si>
  <si>
    <t>Site clearance, removal of top vegetable soil, and site leveling or any shaping necessary</t>
  </si>
  <si>
    <r>
      <t>m</t>
    </r>
    <r>
      <rPr>
        <vertAlign val="superscript"/>
        <sz val="11"/>
        <color theme="1"/>
        <rFont val="Times New Roman"/>
        <family val="1"/>
      </rPr>
      <t>2</t>
    </r>
    <r>
      <rPr>
        <sz val="10"/>
        <rFont val="Arial"/>
        <family val="2"/>
      </rPr>
      <t/>
    </r>
  </si>
  <si>
    <t>2.1.2</t>
  </si>
  <si>
    <t>Earthwork , cut, fill and evacuation or overlay of the surplus soils, including all accruals</t>
  </si>
  <si>
    <r>
      <t>m</t>
    </r>
    <r>
      <rPr>
        <vertAlign val="superscript"/>
        <sz val="11"/>
        <color theme="1"/>
        <rFont val="Times New Roman"/>
        <family val="1"/>
      </rPr>
      <t>3</t>
    </r>
  </si>
  <si>
    <t>2.1.3</t>
  </si>
  <si>
    <t>Increase in Value for hard soil</t>
  </si>
  <si>
    <t>2.1.4</t>
  </si>
  <si>
    <t>Increase in Value for rock soil</t>
  </si>
  <si>
    <t>2.1.5</t>
  </si>
  <si>
    <t xml:space="preserve">Supply and fix  18m PVC strainer DE75 DN60 PN10 to 20 cm of the tablecloth and routing of water in pipe PVC DE63 DN50 PN10 of the strainer to the starting chamber at 12 m, including all accruals </t>
  </si>
  <si>
    <t>lm</t>
  </si>
  <si>
    <t>2.1.6</t>
  </si>
  <si>
    <t>Supply and fix rolled filitrant river gravel, well washed up to 60 cm height, including all accruals</t>
  </si>
  <si>
    <t>2.1.7</t>
  </si>
  <si>
    <t>Supply and fix plastic tight  sheet with the top of the gravel folded in 3 layers, including all accruals</t>
  </si>
  <si>
    <t>2.1.8</t>
  </si>
  <si>
    <t xml:space="preserve">Fill with clay for a tight layer  of 30 cm </t>
  </si>
  <si>
    <t>2.1.9</t>
  </si>
  <si>
    <t>Fill with fine grained soil to a layer of 15 cm on top of the clay, including all accruals</t>
  </si>
  <si>
    <t>2.1.10</t>
  </si>
  <si>
    <t>Fill with soils without roots and other organic matter by compacting each time layers of 20 cm up to the level of the original ground, including all accruals</t>
  </si>
  <si>
    <t>2.1.11</t>
  </si>
  <si>
    <t xml:space="preserve">Excavate a trench of protection of the source up to 80 cm depth. The bottom width 50 cm, including all accruals. </t>
  </si>
  <si>
    <t>2.1.12</t>
  </si>
  <si>
    <t>Put in place a protective fence of quickset hedge in euphorbiums against animals, including all accruals</t>
  </si>
  <si>
    <t>2.1.13</t>
  </si>
  <si>
    <t>Plant passparum around the zone of harnessing, including all accruals</t>
  </si>
  <si>
    <t>SUBTOTAL DIVISION 2.1:</t>
  </si>
  <si>
    <t>CATCHMENT OF KANINGA SOURCE 2 l/s</t>
  </si>
  <si>
    <t>2.2.1</t>
  </si>
  <si>
    <t>2.2.2</t>
  </si>
  <si>
    <t>2.2.3</t>
  </si>
  <si>
    <t>2.2.4</t>
  </si>
  <si>
    <t>2.2.5</t>
  </si>
  <si>
    <t xml:space="preserve">Supply and fix  18m PVC strainer DE75 DN60 PN10 to 20 cm of the tablecloth and routing of water in pipe PVC DE63 DN50 PN10 of the strainer to the starting chamber at 45 m, including all accruals </t>
  </si>
  <si>
    <t>2.2.6</t>
  </si>
  <si>
    <t>2.2.7</t>
  </si>
  <si>
    <t>2.2.8</t>
  </si>
  <si>
    <t>2.2.9</t>
  </si>
  <si>
    <t>2.2.10</t>
  </si>
  <si>
    <t>2.2.11</t>
  </si>
  <si>
    <t>2.2.12</t>
  </si>
  <si>
    <t>2.2.13</t>
  </si>
  <si>
    <t>SUBTOTAL DIVISION 2.2:</t>
  </si>
  <si>
    <t>CATCHMENT OF CYABUHIMBIRI SOURCE 0.8 l/s</t>
  </si>
  <si>
    <t>2.3.1</t>
  </si>
  <si>
    <t>2.3.2</t>
  </si>
  <si>
    <t>2.3.3</t>
  </si>
  <si>
    <t>2.3.4</t>
  </si>
  <si>
    <t>2.3.5</t>
  </si>
  <si>
    <t>2.3.6</t>
  </si>
  <si>
    <t>2.3.7</t>
  </si>
  <si>
    <t>2.3.8</t>
  </si>
  <si>
    <t>2.3.9</t>
  </si>
  <si>
    <t>2.3.10</t>
  </si>
  <si>
    <t>2.3.11</t>
  </si>
  <si>
    <t>2.3.12</t>
  </si>
  <si>
    <t>2.3.13</t>
  </si>
  <si>
    <t>SUBTOTAL DIVISION 2.3:</t>
  </si>
  <si>
    <t>TOTAL DIVISION 2:</t>
  </si>
  <si>
    <t>Supply and installation of pipelines</t>
  </si>
  <si>
    <t xml:space="preserve">The following prices include : </t>
  </si>
  <si>
    <t>The earthwork, trenches backfilling and land remediation at natural surface ground.</t>
  </si>
  <si>
    <t>Supply, fix, and pressure testing for watertightness of pipes PN16 including lubricants and seals.</t>
  </si>
  <si>
    <t>Earthwork by excavation and backfilling</t>
  </si>
  <si>
    <t>3.1.1</t>
  </si>
  <si>
    <t>Excavation and backfilling  of Trenche  with 1 x0.6 m  (according to Wasac standard)  depth , including all accruals.</t>
  </si>
  <si>
    <t>3.1.2</t>
  </si>
  <si>
    <t>Supply and Installation of Concrete Terminals (painted blue and numbered) on the route of the pipeline, dim.0.15 * 0.15 * 0.8m , every 100m and at each change of direction (elbow position)</t>
  </si>
  <si>
    <t>Item</t>
  </si>
  <si>
    <t>SUBTOTAL 3.1:</t>
  </si>
  <si>
    <t>3.2.1</t>
  </si>
  <si>
    <t>HDPE DE 125 mm PN 16</t>
  </si>
  <si>
    <t>3.2.2</t>
  </si>
  <si>
    <t>HDPE DE 75 mm PN 16</t>
  </si>
  <si>
    <t>3.2.3</t>
  </si>
  <si>
    <t>HDPE DE 63mm PN 16</t>
  </si>
  <si>
    <t>3.2.4</t>
  </si>
  <si>
    <t>HDPE DE 50mm PN 16</t>
  </si>
  <si>
    <t>3.2.5</t>
  </si>
  <si>
    <t>HDPE DE 40mm PN 16</t>
  </si>
  <si>
    <t>3.2.6</t>
  </si>
  <si>
    <t>HDPE DE 32 mm PN 16</t>
  </si>
  <si>
    <t>3.2.7</t>
  </si>
  <si>
    <t>casing with GS 1'' 1/2 pipe</t>
  </si>
  <si>
    <t>3.2.8</t>
  </si>
  <si>
    <t>casing with GS 2'' pipe</t>
  </si>
  <si>
    <t>3.2.9</t>
  </si>
  <si>
    <t>Solid mass of masonry in stones for pipes stabilization</t>
  </si>
  <si>
    <t>3.2.10</t>
  </si>
  <si>
    <t>Relocation Existance Pipeline and Reconnect 3 Schools and Health Center to Busetsa Water supply System</t>
  </si>
  <si>
    <t>FF</t>
  </si>
  <si>
    <t>3.2.11</t>
  </si>
  <si>
    <t>Pressure test</t>
  </si>
  <si>
    <t>3.2.12</t>
  </si>
  <si>
    <t>Desinfection of network with chlorine</t>
  </si>
  <si>
    <t>SUBTOTAL 3.2:</t>
  </si>
  <si>
    <t>SUBTOTAL DIVISION 3:</t>
  </si>
  <si>
    <t>CONSTRUCTION OF CHAMABERS</t>
  </si>
  <si>
    <t>Air vent Chamber  #(1.6×1.6×1.2m)</t>
  </si>
  <si>
    <t>4.1.1</t>
  </si>
  <si>
    <t xml:space="preserve">Earthworks cut, fill and evacuation or overlay of the surplus soils, including all accruals </t>
  </si>
  <si>
    <t>4.1.2</t>
  </si>
  <si>
    <t>Hardcore (stones pitching) of 30 cm with a filling of 1:10  cement sand mortar mix, saturated with water</t>
  </si>
  <si>
    <t>4.1.3</t>
  </si>
  <si>
    <t>Blind concrete class C, thickness 5 cm</t>
  </si>
  <si>
    <t>4.1.4</t>
  </si>
  <si>
    <t>Reinforced concrete for base slab  ,class A</t>
  </si>
  <si>
    <t>4.1.5</t>
  </si>
  <si>
    <t>Reinforced concrete for roof slab ,class A</t>
  </si>
  <si>
    <t>4.1.6</t>
  </si>
  <si>
    <t>Walls in stones masonry jointed with a mortar of  class D</t>
  </si>
  <si>
    <t>4.1.7</t>
  </si>
  <si>
    <t>Coating of the internal face of wall of the inspection chamber with 3 layers of plaster of 300 kg</t>
  </si>
  <si>
    <r>
      <t>m</t>
    </r>
    <r>
      <rPr>
        <vertAlign val="superscript"/>
        <sz val="11"/>
        <color theme="1"/>
        <rFont val="Times New Roman"/>
        <family val="1"/>
      </rPr>
      <t>2</t>
    </r>
  </si>
  <si>
    <t>4.1.8</t>
  </si>
  <si>
    <t>Plaster on the upper side of roof slab with a rough mortar class B</t>
  </si>
  <si>
    <t>4.1.9</t>
  </si>
  <si>
    <t>Supply and fix the damp proof course between  the roof slab, the wall and the beam of support</t>
  </si>
  <si>
    <t>4.1.10</t>
  </si>
  <si>
    <t>Supply and fix of the metallic cover of 60X60X0.3 cm  with a ventilation shaft at the top and mosquito screen</t>
  </si>
  <si>
    <t>item</t>
  </si>
  <si>
    <t>4.1.11</t>
  </si>
  <si>
    <t>Supply and fix an iron  ladder for interior access embedded in the wall, painted with 3 layers of paint "rust preventive", the step=25cm</t>
  </si>
  <si>
    <t>4.1.12</t>
  </si>
  <si>
    <t>Supply and installation of hydraulic equipment and Fittings for connection of Air release valve</t>
  </si>
  <si>
    <t>SUBTOTAL</t>
  </si>
  <si>
    <t>SUBTOTAL of 5 Air vent</t>
  </si>
  <si>
    <t>Washout #(1.6×1.6×1.2m)</t>
  </si>
  <si>
    <t>4.2.1</t>
  </si>
  <si>
    <t>4.2.2</t>
  </si>
  <si>
    <t>4.2.3</t>
  </si>
  <si>
    <t>4.2.4</t>
  </si>
  <si>
    <t>4.2.5</t>
  </si>
  <si>
    <t>4.2.6</t>
  </si>
  <si>
    <t>walls in stones masonry jointed with a mortar of  class D</t>
  </si>
  <si>
    <t>4.2.7</t>
  </si>
  <si>
    <t>4.2.8</t>
  </si>
  <si>
    <t>4.2.9</t>
  </si>
  <si>
    <t>4.2.10</t>
  </si>
  <si>
    <t>4.2.11</t>
  </si>
  <si>
    <t>4.2.12</t>
  </si>
  <si>
    <t>Supply and installation of hydraulic equipment and Fittings for connection of washout</t>
  </si>
  <si>
    <t>4.2.13</t>
  </si>
  <si>
    <t>Rejection works</t>
  </si>
  <si>
    <t>SUBTOTAL of 6 Washout</t>
  </si>
  <si>
    <t>INTAKE CHAMBER # (3.1×2.4×1.2m)</t>
  </si>
  <si>
    <t>4.3.1</t>
  </si>
  <si>
    <t xml:space="preserve">Earthwork by cut, fill and evacuation or overlay of the surplus soils, including all accruals </t>
  </si>
  <si>
    <t>4.3.2</t>
  </si>
  <si>
    <t>Hardcore (stones pitching) of 30 cm with voids full with cement and sand mortar mix of ratio 1 to 10 respectively</t>
  </si>
  <si>
    <t>4.3.3</t>
  </si>
  <si>
    <t>Blind with concrete class C, thickness 5 cm</t>
  </si>
  <si>
    <t>4.3.4</t>
  </si>
  <si>
    <t>Hydraulic reinforced concrete for the base</t>
  </si>
  <si>
    <t>4.3.5</t>
  </si>
  <si>
    <t>Reinforced concrete for the roof ,class A</t>
  </si>
  <si>
    <t>4.3.6</t>
  </si>
  <si>
    <t xml:space="preserve">Masonry walls in hardcore, with fair face pointed at the joints </t>
  </si>
  <si>
    <t>4.3.7</t>
  </si>
  <si>
    <t>Coating of the internal face of wall of the tank with 3 hydrafuges water proofing coats</t>
  </si>
  <si>
    <t>4.3.8</t>
  </si>
  <si>
    <r>
      <t>Coating of the internal face of wall of the inspection chamber with 3 layers of plaster of 300 kg/m</t>
    </r>
    <r>
      <rPr>
        <vertAlign val="superscript"/>
        <sz val="11"/>
        <color theme="1"/>
        <rFont val="Times New Roman"/>
        <family val="1"/>
      </rPr>
      <t>3</t>
    </r>
  </si>
  <si>
    <t>4.3.9</t>
  </si>
  <si>
    <t>Supply and apply 3 layers of paints "Sikalatex"</t>
  </si>
  <si>
    <t>4.3.10</t>
  </si>
  <si>
    <t>Plaster on upper side of the roof  slab with a rough mortar class B</t>
  </si>
  <si>
    <t>4.3.11</t>
  </si>
  <si>
    <t>4.3.12</t>
  </si>
  <si>
    <t>Supply and fix of the metallic cover of 60 X 60 X 0.3 cm  with a ventilation shaft at the top and the mosquito screen</t>
  </si>
  <si>
    <t>4.3.13</t>
  </si>
  <si>
    <t>Supply a fixed aluminium ladder for interior access embedded in the wall, painted with 3 layers of paint "rust preventive", with 2m of height</t>
  </si>
  <si>
    <t>4.3.14</t>
  </si>
  <si>
    <t>Supply and installation of hydraulic equipment and Fittings for connection of   intake  (All valve of PN16).</t>
  </si>
  <si>
    <t>4.3.15</t>
  </si>
  <si>
    <t>TOTAL of 3 Intake Chambers</t>
  </si>
  <si>
    <t>CONSTRUCTION OF SECTION  VALVE BRANCHES CHAMBERS  # (1.8×1.8×1.2m)</t>
  </si>
  <si>
    <t>4.4.1</t>
  </si>
  <si>
    <t>Terracing, digging, cutting, excavation, backfilling, overlay of surplus soil and land remediation, including all acruals</t>
  </si>
  <si>
    <t>4.4.2</t>
  </si>
  <si>
    <t>Hardcore (stones pitching) of 20 cm with a filling of 1:10  cement sand mortar mix, saturated with water</t>
  </si>
  <si>
    <t>4.4.3</t>
  </si>
  <si>
    <t>4.4.4</t>
  </si>
  <si>
    <t>Reinforced concrete for base slab and  roof slab ,class A</t>
  </si>
  <si>
    <t>4.4.5</t>
  </si>
  <si>
    <t>Lateral walls in stones masonry jointed with a mortar of  class D</t>
  </si>
  <si>
    <t>4.4.6</t>
  </si>
  <si>
    <r>
      <t>Coating of the internal side of wall of the inspection chamber with plaster of 300 kg/m</t>
    </r>
    <r>
      <rPr>
        <vertAlign val="superscript"/>
        <sz val="11"/>
        <color theme="1"/>
        <rFont val="Times New Roman"/>
        <family val="1"/>
      </rPr>
      <t>3</t>
    </r>
    <r>
      <rPr>
        <sz val="11"/>
        <color theme="1"/>
        <rFont val="Times New Roman"/>
        <family val="1"/>
      </rPr>
      <t xml:space="preserve"> ciment mixture</t>
    </r>
  </si>
  <si>
    <t>4.4.7</t>
  </si>
  <si>
    <t>Plaster on upper side of the slab with a rough mortar class B</t>
  </si>
  <si>
    <t>4.4.8</t>
  </si>
  <si>
    <t>4.4.9</t>
  </si>
  <si>
    <t>Supply and fix of the metallic cover of 60X60X0.3 cm  with a ventilation shaft at the top and the mosquito screen</t>
  </si>
  <si>
    <t>4.4.10</t>
  </si>
  <si>
    <t>Supply and fix an  iron  ladder for interior access embedded in the wall, painted with 3 layers of rust preventive paint, the step=25cm</t>
  </si>
  <si>
    <t>4.4.11</t>
  </si>
  <si>
    <t>Supply and installation of hydraulic equipment and Fittings for connection of   valve chamber  (All valve of PN16).</t>
  </si>
  <si>
    <t>SUBTOTAL 4.4</t>
  </si>
  <si>
    <t>SUBTOTAL 4.4 (For 8 Valve chamber)</t>
  </si>
  <si>
    <t>CONSTRUCTION OF Chlorination CHAMBER # (1.6×1.5×1.2m)</t>
  </si>
  <si>
    <t>4.5.1</t>
  </si>
  <si>
    <t>4.5.2</t>
  </si>
  <si>
    <t>4.5.3</t>
  </si>
  <si>
    <t>4.5.4</t>
  </si>
  <si>
    <t>4.5.5</t>
  </si>
  <si>
    <t>4.5.6</t>
  </si>
  <si>
    <r>
      <t>Coating of the internal side of wall of the inspection chamber with 3 layers of plaster of 300 kg/m</t>
    </r>
    <r>
      <rPr>
        <vertAlign val="superscript"/>
        <sz val="11"/>
        <color theme="1"/>
        <rFont val="Times New Roman"/>
        <family val="1"/>
      </rPr>
      <t>3</t>
    </r>
    <r>
      <rPr>
        <sz val="11"/>
        <color theme="1"/>
        <rFont val="Times New Roman"/>
        <family val="1"/>
      </rPr>
      <t xml:space="preserve"> ciment mixture</t>
    </r>
  </si>
  <si>
    <t>4.5.7</t>
  </si>
  <si>
    <t>4.5.8</t>
  </si>
  <si>
    <t>4.5.9</t>
  </si>
  <si>
    <t>4.5.10</t>
  </si>
  <si>
    <t>Supply a fixed iron ladder for interior access embedded in the wall, painted with 3 layers of paint "rust preventive", with 2m of height</t>
  </si>
  <si>
    <t>4.5.11</t>
  </si>
  <si>
    <t>Supply and installation of hydraulic equipment and Fittings for connection of  chlorination chamber  (All valve of PN16).</t>
  </si>
  <si>
    <t>SUBTOTAL 4.5</t>
  </si>
  <si>
    <t>SUBTOTAL 4.5 (For 1 Chlorination chamber)</t>
  </si>
  <si>
    <t>SUBTOTAL 4</t>
  </si>
  <si>
    <t xml:space="preserve">CONSTRUCTION OF PH REGULATOR AND TREATMENT ROOM ( Refer to designs) </t>
  </si>
  <si>
    <t>Setting out of the building as specified o the drawings</t>
  </si>
  <si>
    <t>FOUNDATION WORKS</t>
  </si>
  <si>
    <t>Earth works in Excavation 7.25*5.3*2,(L=7.25m,w=5.3m,h=2m) of foundation trenches Terracing, digging, cutting, excavation, backfilling, overlay of surplus soil and land remediation, including all accruals and site clearing after construction</t>
  </si>
  <si>
    <r>
      <t>m</t>
    </r>
    <r>
      <rPr>
        <vertAlign val="superscript"/>
        <sz val="12"/>
        <rFont val="Times New Roman"/>
        <family val="1"/>
      </rPr>
      <t>3</t>
    </r>
  </si>
  <si>
    <t>Hardcore (stones pitching) of 20 cm with a filling of 1:10 cement sand mortar mix, saturated with water</t>
  </si>
  <si>
    <t>m3</t>
  </si>
  <si>
    <t>Supply of aggregate for the filtration chamber</t>
  </si>
  <si>
    <t>Supply of fine sand for the filtration chamber</t>
  </si>
  <si>
    <t>Supply and Testing Calcite material (ex-limestone/travertine or dolomite)</t>
  </si>
  <si>
    <t xml:space="preserve">Supply and installation of hydraulic equipment include all pipes and all fittings </t>
  </si>
  <si>
    <t>Supply and fix damp proof course between the roof slab, the wall and the beam of support</t>
  </si>
  <si>
    <t>m2</t>
  </si>
  <si>
    <t>CONCRETE WORK</t>
  </si>
  <si>
    <t>5.10,</t>
  </si>
  <si>
    <t xml:space="preserve">Blinding concrete in foundation trenches </t>
  </si>
  <si>
    <t>Cut walk passage on the top side of the filter  to be standed up on  while making the inspection works and checking the operation works.</t>
  </si>
  <si>
    <t xml:space="preserve">200mm thick reinforced concrete underground walls </t>
  </si>
  <si>
    <t>Stonework foundation</t>
  </si>
  <si>
    <t xml:space="preserve">Backfilling and soil compaction around foundation walls </t>
  </si>
  <si>
    <t>Cement coating over foundation wall</t>
  </si>
  <si>
    <t>Dump proof course of 2 Cm thick</t>
  </si>
  <si>
    <t>Lm</t>
  </si>
  <si>
    <t>S/Total</t>
  </si>
  <si>
    <t>SUPPERSTRUCTURE</t>
  </si>
  <si>
    <t>Wall masonry and concrete</t>
  </si>
  <si>
    <t xml:space="preserve">Elevation of interior and exterior walls with burnt bricks bound together with cement mortar </t>
  </si>
  <si>
    <r>
      <t>m</t>
    </r>
    <r>
      <rPr>
        <vertAlign val="superscript"/>
        <sz val="12"/>
        <color indexed="8"/>
        <rFont val="Times New Roman"/>
        <family val="1"/>
      </rPr>
      <t>3</t>
    </r>
  </si>
  <si>
    <t>Mansory for ventillation holes (claustra)</t>
  </si>
  <si>
    <r>
      <t>m</t>
    </r>
    <r>
      <rPr>
        <vertAlign val="superscript"/>
        <sz val="12"/>
        <color indexed="8"/>
        <rFont val="Times New Roman"/>
        <family val="1"/>
      </rPr>
      <t>2</t>
    </r>
  </si>
  <si>
    <t>Reinforced concrete lintel</t>
  </si>
  <si>
    <t>ROOF</t>
  </si>
  <si>
    <t>5.20</t>
  </si>
  <si>
    <t>In-situ, vibrated reinforced concrete mix as C25/30 ratio described.incuding High yield tensile steel bar reinforcement grade 460 as described including cutting to lengths, bending, hoisting and fixing including all necessary tying wire and spacing blocks. and Sawn timber formworks to GET A SUSPENDED SLAB</t>
  </si>
  <si>
    <t>CEILING</t>
  </si>
  <si>
    <t>Preparing the well Painting I three coat emulsion paint in soffit of under the slab</t>
  </si>
  <si>
    <r>
      <t>m</t>
    </r>
    <r>
      <rPr>
        <vertAlign val="superscript"/>
        <sz val="12"/>
        <rFont val="Times New Roman"/>
        <family val="1"/>
      </rPr>
      <t>2</t>
    </r>
  </si>
  <si>
    <t>DOORS &amp; WINDOWS</t>
  </si>
  <si>
    <t>Doors</t>
  </si>
  <si>
    <t>Supply and fixation of 180cm*210cm glazed metallic door  in  quality with transom, lock and all requirements</t>
  </si>
  <si>
    <t>Pce</t>
  </si>
  <si>
    <t>Windows</t>
  </si>
  <si>
    <t xml:space="preserve"> Supply and fixation of 70*70  glazed metallic window and all requirements</t>
  </si>
  <si>
    <t>FLOORING FINISHES</t>
  </si>
  <si>
    <t xml:space="preserve">Floor tiling and skirting </t>
  </si>
  <si>
    <t>PLASTERING, RENDERING &amp; WALL FINISHES</t>
  </si>
  <si>
    <t>Wall plastering and Rendering</t>
  </si>
  <si>
    <t>PAINTING WORKS</t>
  </si>
  <si>
    <t>Wall painting with emulsion paints</t>
  </si>
  <si>
    <t>PIPE WORK</t>
  </si>
  <si>
    <t xml:space="preserve">INLET-OUTLET AND WASH OUT </t>
  </si>
  <si>
    <t>Supply and fixation highest quality PVC 16PN and DN125mm of washout inlet and out let pipes .complete of good quality with accesssories and all Fittings as required</t>
  </si>
  <si>
    <t xml:space="preserve">Water proofing works  to protect side walls on back side of concrete walls </t>
  </si>
  <si>
    <t>ELECTRICITY</t>
  </si>
  <si>
    <t xml:space="preserve">Supply &amp; fixation of electrical appliances  </t>
  </si>
  <si>
    <t>5.30</t>
  </si>
  <si>
    <t>Supply and fixation of Incandesent Light bulb with their solar pannel .complete of good quality with accesssories and all requirements</t>
  </si>
  <si>
    <t>pce</t>
  </si>
  <si>
    <t>Supply and fixation of Switches. complete of good quality with accesssories and all requirements</t>
  </si>
  <si>
    <t>EVACUATION</t>
  </si>
  <si>
    <t xml:space="preserve">Soak away  pit ( 3m deep) excavation WITH 2 chambers filled with stones for the purpose of retaining the wastes by directing the gutters  of the roof should be channeled in this pit from the filters and other side drainage channels during the rain season . , </t>
  </si>
  <si>
    <t>Cover of the soak away pit in a reinforced concrete (d=1.10 m)</t>
  </si>
  <si>
    <t>Stone to fill in the soak away pit for the storm water, sludgers from filters and othher side liquid wastes</t>
  </si>
  <si>
    <t>DRAINAGE WORKS</t>
  </si>
  <si>
    <t xml:space="preserve">Boundary wall in mesh stainless and other tubes combined together with the columns in masonry </t>
  </si>
  <si>
    <t>Woven wire fencing 2m height bound on metallic poles (40x40mm) 2,50 m equidistant and anchoring in a hardcore and cement mortar foundation (1,20 m height) along the outline of the plot</t>
  </si>
  <si>
    <t>SUBTOTAL :5</t>
  </si>
  <si>
    <t xml:space="preserve">SUBTOTAL FOR 1 PH REGULATOR </t>
  </si>
  <si>
    <t>RESERVOIRS</t>
  </si>
  <si>
    <r>
      <t>Construction of 25 m</t>
    </r>
    <r>
      <rPr>
        <b/>
        <vertAlign val="superscript"/>
        <sz val="11"/>
        <rFont val="Times New Roman"/>
        <family val="1"/>
      </rPr>
      <t>3</t>
    </r>
    <r>
      <rPr>
        <b/>
        <sz val="11"/>
        <rFont val="Times New Roman"/>
        <family val="1"/>
      </rPr>
      <t xml:space="preserve"> capacity reservoir</t>
    </r>
  </si>
  <si>
    <t>6.1.1</t>
  </si>
  <si>
    <t>Clear site of grass, bushes, shrubs and hedges grub up roots and remove from site all excavated materials</t>
  </si>
  <si>
    <t>6.1.2</t>
  </si>
  <si>
    <t>Stripping of top vegetative soil 200 mm deep and remove from site all excavated materials.</t>
  </si>
  <si>
    <t>6.1.3</t>
  </si>
  <si>
    <t xml:space="preserve">Earthworks, cut, fill and evacuation or overlay of the surplus soils, including all accruals </t>
  </si>
  <si>
    <t>6.1.4</t>
  </si>
  <si>
    <t>Termidor 25EC. Chemical anti-termite treatment executed by an approved specialist under 10years guarantee to surfaces of hardcore.</t>
  </si>
  <si>
    <t>6.1.5</t>
  </si>
  <si>
    <t>Hardcore (stones pitching) of 30 cm thick with a filling of 1:10  cement sand mortar mix saturated with water</t>
  </si>
  <si>
    <t>6.1.6</t>
  </si>
  <si>
    <t>Blinding concrete C15/20, thickness 10 cm</t>
  </si>
  <si>
    <t>6.1.7</t>
  </si>
  <si>
    <t xml:space="preserve">Hydraulic reinforced concrete C25/30 for base slab </t>
  </si>
  <si>
    <t>6.1.8</t>
  </si>
  <si>
    <t>Reinforced concrete C25/30 for cover slab and beams</t>
  </si>
  <si>
    <t>6.1.9</t>
  </si>
  <si>
    <t>Supply and installation of water stoper</t>
  </si>
  <si>
    <t>6.1.10</t>
  </si>
  <si>
    <t>Hydraulic reinforced concrete C25/30 for elevation walls</t>
  </si>
  <si>
    <t>6.1.11</t>
  </si>
  <si>
    <t>Supply and application of 3 layers of water proofing paints</t>
  </si>
  <si>
    <t>6.1.12</t>
  </si>
  <si>
    <t>Supply and application of 3 layers of antibacteria paints on the internall walls</t>
  </si>
  <si>
    <t>6.1.13</t>
  </si>
  <si>
    <t xml:space="preserve">Supply and application of 3 layers of tyrolean finish on the external walls </t>
  </si>
  <si>
    <t>6.1.14</t>
  </si>
  <si>
    <t>Plaster on upper side of the cover slab with a rough mortar class B with hard finish</t>
  </si>
  <si>
    <t>6.1.15</t>
  </si>
  <si>
    <t>Protection of the cover slab with bitumen</t>
  </si>
  <si>
    <t>6.1.16</t>
  </si>
  <si>
    <t>Protection of the cover slab with gravels above bitumen</t>
  </si>
  <si>
    <t>6.1.17</t>
  </si>
  <si>
    <t xml:space="preserve">Realization of 6m Ø110mm pipes for the evacuation of rainwater from the top slab of reservoir </t>
  </si>
  <si>
    <t>m</t>
  </si>
  <si>
    <t>6.1.18</t>
  </si>
  <si>
    <t>Aeration of reservoir with galvanized steel pipe DN100</t>
  </si>
  <si>
    <t>6.1.19</t>
  </si>
  <si>
    <t>Supply and fix of stainless steel ladder embedded in the wall for access inside the reservoir</t>
  </si>
  <si>
    <t>6.1.20</t>
  </si>
  <si>
    <t xml:space="preserve">Supply and placement of fiberglass cover 800 mm x 800 mm for inspection </t>
  </si>
  <si>
    <t>Lps</t>
  </si>
  <si>
    <t>6.1.21</t>
  </si>
  <si>
    <t>Supply and fix of a solid galvanised steel ladder embedded in the wall for access to the top of the reservoir</t>
  </si>
  <si>
    <t>Total 1:</t>
  </si>
  <si>
    <t>Valve chamber:</t>
  </si>
  <si>
    <t>6.1.22</t>
  </si>
  <si>
    <t>6.1.23</t>
  </si>
  <si>
    <t>Hardcore (stones pitching) of 30 cm with a filling of 1:10  cement sand mortar mix saturated with water</t>
  </si>
  <si>
    <t>6.1.24</t>
  </si>
  <si>
    <t>Blinding concrete C15/20, thickness 5 cm</t>
  </si>
  <si>
    <t>6.1.25</t>
  </si>
  <si>
    <t xml:space="preserve">Reinforced concrete C25/30  for base slab and  cover slab </t>
  </si>
  <si>
    <t>6.1.26</t>
  </si>
  <si>
    <t>Brick masonry for walls mortar jointing</t>
  </si>
  <si>
    <t>6.1.27</t>
  </si>
  <si>
    <t>Three layers of Plaster on internal and external sides of the wall with a rough mortar class B with hard finish</t>
  </si>
  <si>
    <t>6.1.28</t>
  </si>
  <si>
    <t>Supply and installation of PVC leak drain pipe DN50 PN16</t>
  </si>
  <si>
    <t>6.1.29</t>
  </si>
  <si>
    <t>Supply and fix of a solid galvanised steel ladder embedded in the wall for access into the chamber</t>
  </si>
  <si>
    <t>6.1.30</t>
  </si>
  <si>
    <t>Supply and installation of fittings supports, including all accruals.</t>
  </si>
  <si>
    <t>6.1.31</t>
  </si>
  <si>
    <t xml:space="preserve">Supply and installation of a metalic simple door with specifications indicated on the drawings </t>
  </si>
  <si>
    <t>Total 2:</t>
  </si>
  <si>
    <t>6.1.32</t>
  </si>
  <si>
    <r>
      <t>Supply and installation of DI flanged hydraulic equipment and Fittings for connection of 25m</t>
    </r>
    <r>
      <rPr>
        <vertAlign val="superscript"/>
        <sz val="11"/>
        <rFont val="Times New Roman"/>
        <family val="1"/>
      </rPr>
      <t>3</t>
    </r>
    <r>
      <rPr>
        <sz val="11"/>
        <rFont val="Times New Roman"/>
        <family val="1"/>
      </rPr>
      <t xml:space="preserve"> reservoir </t>
    </r>
  </si>
  <si>
    <t>Civil works washout :</t>
  </si>
  <si>
    <t>6.1.33</t>
  </si>
  <si>
    <t>6.1.34</t>
  </si>
  <si>
    <t>6.1.35</t>
  </si>
  <si>
    <t>Blinding concrete C15/20 thickness 5 cm</t>
  </si>
  <si>
    <t>6.1.36</t>
  </si>
  <si>
    <t>Reinforced concrete C25/30 for base slab</t>
  </si>
  <si>
    <t>6.1.37</t>
  </si>
  <si>
    <t>Masonry walls in burnt bricks with fair face pointed at the joints with cement mortar Class D.</t>
  </si>
  <si>
    <t>Total 3:</t>
  </si>
  <si>
    <t>Compound drainage system:</t>
  </si>
  <si>
    <t>Manholes and drainage pipes:</t>
  </si>
  <si>
    <t>6.1.38</t>
  </si>
  <si>
    <t>Excavation and evacuation of all excavated materials</t>
  </si>
  <si>
    <t>6.1.39</t>
  </si>
  <si>
    <t>6.1.40</t>
  </si>
  <si>
    <t>Hardcore (stones pitching) of 20 cm as per drawing</t>
  </si>
  <si>
    <t>6.1.41</t>
  </si>
  <si>
    <t>Elevation walls in stone masonry with cement mortar class C</t>
  </si>
  <si>
    <t>6.1.42</t>
  </si>
  <si>
    <t>Copping concrete C15/20, thickness 5 cm</t>
  </si>
  <si>
    <t>6.1.43</t>
  </si>
  <si>
    <t>Screading on the bottom and sides of the channel.</t>
  </si>
  <si>
    <t>6.1.44</t>
  </si>
  <si>
    <t>PVC DN 110 PN10 drainage pipe as per drawings.</t>
  </si>
  <si>
    <t>Sub-total 1:</t>
  </si>
  <si>
    <t>Soakpit:</t>
  </si>
  <si>
    <t>6.1.45</t>
  </si>
  <si>
    <t>6.1.46</t>
  </si>
  <si>
    <t>6.1.47</t>
  </si>
  <si>
    <t>Excavation of soak pit and evacuation of all excavated materials</t>
  </si>
  <si>
    <t>6.1.48</t>
  </si>
  <si>
    <t>Protection of soak pit walls with stone masonry</t>
  </si>
  <si>
    <t>6.1.49</t>
  </si>
  <si>
    <t>Concrete cover: 100mm reinforced concrete C20/25 with rebars of 10mm dia spaced at 200 mm</t>
  </si>
  <si>
    <t>6.1.50</t>
  </si>
  <si>
    <t>Supply and installation of vent pipe PVC DN110 PN10</t>
  </si>
  <si>
    <t>6.1.51</t>
  </si>
  <si>
    <t>Masonry in burnt bricks to support the vent pipe</t>
  </si>
  <si>
    <t>Sub-total 2:</t>
  </si>
  <si>
    <t>Total 4:</t>
  </si>
  <si>
    <t>Landscaping:</t>
  </si>
  <si>
    <t>6.1.52</t>
  </si>
  <si>
    <t>Supply and placement of white gravel to a minimum thickness of 5 cm</t>
  </si>
  <si>
    <t>6.1.53</t>
  </si>
  <si>
    <t>Supply and planting of passparum grass</t>
  </si>
  <si>
    <t>Total 5:</t>
  </si>
  <si>
    <t>SUBTOTAL 4.2.1:</t>
  </si>
  <si>
    <r>
      <t>SUBTOTAL OF 2 Res. 25m</t>
    </r>
    <r>
      <rPr>
        <b/>
        <vertAlign val="superscript"/>
        <sz val="11"/>
        <rFont val="Times New Roman"/>
        <family val="1"/>
      </rPr>
      <t>3</t>
    </r>
  </si>
  <si>
    <t xml:space="preserve">CONSTRUCTION OF REINFORCED CONCRETE RESERVOIR OF 100 m3 </t>
  </si>
  <si>
    <t>6.2.1</t>
  </si>
  <si>
    <t>Site excavation</t>
  </si>
  <si>
    <t>6.2.2</t>
  </si>
  <si>
    <t>Riprap for dry stones. thickness 30 cm</t>
  </si>
  <si>
    <t>6.2.3</t>
  </si>
  <si>
    <t>Blinding concrete. thickness 5 cm dosage 150 kg/m3</t>
  </si>
  <si>
    <t>6.2.4</t>
  </si>
  <si>
    <t>Reinforce concrete rafter. dosage 350 kg/m3</t>
  </si>
  <si>
    <t>6.2.5</t>
  </si>
  <si>
    <t>Reinforced concrete elevation. Mixing ratio350 kg / m3</t>
  </si>
  <si>
    <t>6.2.6</t>
  </si>
  <si>
    <t>reinforced concrete Column and beam</t>
  </si>
  <si>
    <t>6.2.7</t>
  </si>
  <si>
    <t>Reinforced concrete Cover slab. dosage 350 kg/m3</t>
  </si>
  <si>
    <t>6.2.8</t>
  </si>
  <si>
    <t>Internal roughcasting with a cement mortar mixed at 400kg / m3 and sikalatex in three successive layers of thickness of 2cm each</t>
  </si>
  <si>
    <t>6.2.9</t>
  </si>
  <si>
    <t>Smooth pointing of external masonry with a cement mortar mixed at 400kg / m3</t>
  </si>
  <si>
    <t>6.2.10</t>
  </si>
  <si>
    <t>Supply and installation of a steel manhole cover 80x80 cm of 3mm thick with aeration</t>
  </si>
  <si>
    <t>6.2.11</t>
  </si>
  <si>
    <t>Supply and Installation of Almnium ladder (Inox ladder) for access</t>
  </si>
  <si>
    <t>6.2.12</t>
  </si>
  <si>
    <t xml:space="preserve">Protection of the cover slab with roofing and gravel </t>
  </si>
  <si>
    <t>6.2.13</t>
  </si>
  <si>
    <t>Valve Chamber #2x2x1.2 int#</t>
  </si>
  <si>
    <t>6.2.14</t>
  </si>
  <si>
    <t>6.2.15</t>
  </si>
  <si>
    <t>Riprap for dry stones. thickness 0.2 cm</t>
  </si>
  <si>
    <t>6.2.16</t>
  </si>
  <si>
    <t>6.2.17</t>
  </si>
  <si>
    <t>6.2.18</t>
  </si>
  <si>
    <t>Stone masonry for elevation</t>
  </si>
  <si>
    <t>6.2.19</t>
  </si>
  <si>
    <t>6.2.20</t>
  </si>
  <si>
    <t>Application of a finishing layer inside the structure</t>
  </si>
  <si>
    <t xml:space="preserve">m2 </t>
  </si>
  <si>
    <t>6.2.21</t>
  </si>
  <si>
    <t>Pointing of exterior masonry</t>
  </si>
  <si>
    <t>6.2.22</t>
  </si>
  <si>
    <t>Supply and installation of a steel manhole cover 60x60cm of 3mm thick</t>
  </si>
  <si>
    <t xml:space="preserve">pce </t>
  </si>
  <si>
    <t>6.2.23</t>
  </si>
  <si>
    <t>Supply and installation of Flanged hydraulic equipment &amp; Fittings and DI pipes  for connection of chamber according to the client instruction</t>
  </si>
  <si>
    <t>Lump Sum</t>
  </si>
  <si>
    <t xml:space="preserve">REJECTION WORK  </t>
  </si>
  <si>
    <t>6.2.24</t>
  </si>
  <si>
    <r>
      <t>m</t>
    </r>
    <r>
      <rPr>
        <vertAlign val="superscript"/>
        <sz val="11"/>
        <color indexed="8"/>
        <rFont val="Times New Roman"/>
        <family val="1"/>
      </rPr>
      <t>3</t>
    </r>
  </si>
  <si>
    <t>6.2.25</t>
  </si>
  <si>
    <t>Hardcore (Stones pitching) of 20 cm with a filling of 1:10  cement sand mortar mix, saturated with water</t>
  </si>
  <si>
    <t>6.2.26</t>
  </si>
  <si>
    <t>6.2.27</t>
  </si>
  <si>
    <t>Reinforced concrete class A, for base slab</t>
  </si>
  <si>
    <t>6.2.28</t>
  </si>
  <si>
    <t xml:space="preserve">stone Masonry walls </t>
  </si>
  <si>
    <t>6.2.29</t>
  </si>
  <si>
    <r>
      <t>Coating of walls with plaster of 300 kg/m</t>
    </r>
    <r>
      <rPr>
        <vertAlign val="superscript"/>
        <sz val="11"/>
        <color indexed="8"/>
        <rFont val="Times New Roman"/>
        <family val="1"/>
      </rPr>
      <t xml:space="preserve">3 </t>
    </r>
    <r>
      <rPr>
        <sz val="11"/>
        <color indexed="8"/>
        <rFont val="Times New Roman"/>
        <family val="1"/>
      </rPr>
      <t>cement mixture</t>
    </r>
  </si>
  <si>
    <r>
      <t>m</t>
    </r>
    <r>
      <rPr>
        <vertAlign val="superscript"/>
        <sz val="11"/>
        <color indexed="8"/>
        <rFont val="Times New Roman"/>
        <family val="1"/>
      </rPr>
      <t>2</t>
    </r>
  </si>
  <si>
    <t>6.2.30</t>
  </si>
  <si>
    <r>
      <t>Soakaway pit 1 m</t>
    </r>
    <r>
      <rPr>
        <vertAlign val="superscript"/>
        <sz val="11"/>
        <color indexed="8"/>
        <rFont val="Times New Roman"/>
        <family val="1"/>
      </rPr>
      <t>3</t>
    </r>
    <r>
      <rPr>
        <sz val="11"/>
        <color indexed="8"/>
        <rFont val="Times New Roman"/>
        <family val="1"/>
      </rPr>
      <t>, full of gravel and hardcore (stones pitching)</t>
    </r>
  </si>
  <si>
    <t>6.2.31</t>
  </si>
  <si>
    <t>6.2.32</t>
  </si>
  <si>
    <t>SUBTOTAL 4.2.2:</t>
  </si>
  <si>
    <r>
      <t>SUBTOTAL OF 2 R100m</t>
    </r>
    <r>
      <rPr>
        <b/>
        <vertAlign val="superscript"/>
        <sz val="11"/>
        <rFont val="Times New Roman"/>
        <family val="1"/>
      </rPr>
      <t>3</t>
    </r>
  </si>
  <si>
    <t>Sub total Divison 6</t>
  </si>
  <si>
    <t>Water point with taps</t>
  </si>
  <si>
    <t>Construction of Water point with double taps for community</t>
  </si>
  <si>
    <t>7.1.1</t>
  </si>
  <si>
    <t>7.1.2</t>
  </si>
  <si>
    <t>7.1.3</t>
  </si>
  <si>
    <t>7.1.4</t>
  </si>
  <si>
    <t>7.1.5</t>
  </si>
  <si>
    <t>Reinforced concrete for roof slab  ,class A</t>
  </si>
  <si>
    <t>7.1.6</t>
  </si>
  <si>
    <t>7.1.7</t>
  </si>
  <si>
    <r>
      <t>Coating of walls with plaster of 300 kg/m</t>
    </r>
    <r>
      <rPr>
        <vertAlign val="superscript"/>
        <sz val="11"/>
        <color theme="1"/>
        <rFont val="Times New Roman"/>
        <family val="1"/>
      </rPr>
      <t>3</t>
    </r>
  </si>
  <si>
    <t>7.1.8</t>
  </si>
  <si>
    <t>7.1.9</t>
  </si>
  <si>
    <t xml:space="preserve">Supply and fix the damp proof course between  the roof slab and the wall </t>
  </si>
  <si>
    <t>7.1.10</t>
  </si>
  <si>
    <t xml:space="preserve">Supply and fix of the metallic cover of 50X50X0.3 cm  </t>
  </si>
  <si>
    <t>7.1.11</t>
  </si>
  <si>
    <t>Supply and installation of all hydraulic equipment and Fittings including volumetric water meter with at least nominal flow rate of 1.5m3/h and max admissible pressure of 16 bar</t>
  </si>
  <si>
    <t>7.1.12</t>
  </si>
  <si>
    <r>
      <t>Soakaway pit 1 m</t>
    </r>
    <r>
      <rPr>
        <vertAlign val="superscript"/>
        <sz val="11"/>
        <color theme="1"/>
        <rFont val="Times New Roman"/>
        <family val="1"/>
      </rPr>
      <t>3</t>
    </r>
    <r>
      <rPr>
        <sz val="11"/>
        <color theme="1"/>
        <rFont val="Times New Roman"/>
        <family val="1"/>
      </rPr>
      <t>, full of gravel and hardcore (stones pitching)</t>
    </r>
  </si>
  <si>
    <t>Sub total 7.1:</t>
  </si>
  <si>
    <t>Total for 19 Water taps</t>
  </si>
  <si>
    <t>SUBTOTAL Division 7 of  WATER POINTS:</t>
  </si>
  <si>
    <t xml:space="preserve">PUMPING STATION </t>
  </si>
  <si>
    <t xml:space="preserve"> SELECTED AND APPROVED SUBMERSIBLE SOLAR PUMP AND ASSOCIATED WORKS</t>
  </si>
  <si>
    <t>SUPPLY AND INSTALL of submissble pump and solar panel</t>
  </si>
  <si>
    <t>8.1.1.1</t>
  </si>
  <si>
    <t>Submersible pump complete with 15kW ,3Phases motor  (H=104m and Q=176m3/day)</t>
  </si>
  <si>
    <t>No.</t>
  </si>
  <si>
    <t>8.1.1.2</t>
  </si>
  <si>
    <t>Supply and  Install 19.2kWp Photo Voltaic Array</t>
  </si>
  <si>
    <t>8.1.1.3</t>
  </si>
  <si>
    <t>Floating Switch</t>
  </si>
  <si>
    <t>8.1.1.4</t>
  </si>
  <si>
    <t xml:space="preserve">Pressure Switch </t>
  </si>
  <si>
    <t>8.1.1.5</t>
  </si>
  <si>
    <t>Electrical Cabinet 40cmx30cmx20cm</t>
  </si>
  <si>
    <t>8.1.1.6</t>
  </si>
  <si>
    <t>Electric Cable - switch to controller</t>
  </si>
  <si>
    <t>8.1.1.7</t>
  </si>
  <si>
    <t xml:space="preserve"> I/O 50 Switch (For SQF)</t>
  </si>
  <si>
    <t>8.1.1.8</t>
  </si>
  <si>
    <t>Pump Controller(15kW Solar/Grid Hy brid Pump Controller)</t>
  </si>
  <si>
    <t>8.1.1.9</t>
  </si>
  <si>
    <t xml:space="preserve">Inverter </t>
  </si>
  <si>
    <t>8.1.1.10</t>
  </si>
  <si>
    <t>Sine wave filter</t>
  </si>
  <si>
    <t>8.1.1.11</t>
  </si>
  <si>
    <t xml:space="preserve">2 Pole Circuit Breaker </t>
  </si>
  <si>
    <t>8.1.1.12</t>
  </si>
  <si>
    <t>Fuses</t>
  </si>
  <si>
    <t>8.1.1.13</t>
  </si>
  <si>
    <t>Surge Protector</t>
  </si>
  <si>
    <t>8.1.1.14</t>
  </si>
  <si>
    <t>Electric Cable - safety Lights</t>
  </si>
  <si>
    <t>8.1.1.15</t>
  </si>
  <si>
    <t xml:space="preserve">Lightning arrestor </t>
  </si>
  <si>
    <t>8.1.1.16</t>
  </si>
  <si>
    <t>MC4 connector</t>
  </si>
  <si>
    <t>8.1.1.17</t>
  </si>
  <si>
    <t>Nylon rope to pump</t>
  </si>
  <si>
    <t>8.1.1.18</t>
  </si>
  <si>
    <t xml:space="preserve">Armored electrical cable  </t>
  </si>
  <si>
    <t>8.1.1.19</t>
  </si>
  <si>
    <t xml:space="preserve">Submersible electrical cable </t>
  </si>
  <si>
    <t>8.1.1.20</t>
  </si>
  <si>
    <t>Submersible pump pipe</t>
  </si>
  <si>
    <t>8.1.1.21</t>
  </si>
  <si>
    <t xml:space="preserve">Auxiliary 40W solar panel </t>
  </si>
  <si>
    <t>8.1.1.22</t>
  </si>
  <si>
    <t>All Dos DDE 6-10B Dosing Pump</t>
  </si>
  <si>
    <t>no.</t>
  </si>
  <si>
    <t>8.1.1.23</t>
  </si>
  <si>
    <t>Taw chlorine tank 200l</t>
  </si>
  <si>
    <t>8.1.1.24</t>
  </si>
  <si>
    <t xml:space="preserve">Service Lights </t>
  </si>
  <si>
    <t>8.1.1.25</t>
  </si>
  <si>
    <t xml:space="preserve">Security Lights </t>
  </si>
  <si>
    <t xml:space="preserve">SUBTOTAL </t>
  </si>
  <si>
    <t>TOTAL FOR PUMP AND SOLAR SYSTEM 8.1:</t>
  </si>
  <si>
    <t>CONTROL ROOM HOUSE and GUARD HOUSE</t>
  </si>
  <si>
    <t>Site Clearance</t>
  </si>
  <si>
    <t>8.2.1</t>
  </si>
  <si>
    <t>Clear site of all bushes, tree plants, shrubs and dispose of in an appropriate area</t>
  </si>
  <si>
    <t>8.2.2</t>
  </si>
  <si>
    <t>Anti-Termite Treatment</t>
  </si>
  <si>
    <t>8.2.3</t>
  </si>
  <si>
    <t>Chemical anti-termite treatment to subsoil or filling : Dragnet 38% E.C. or equal and approved : provide a ten year guarantee</t>
  </si>
  <si>
    <t>Earth Works</t>
  </si>
  <si>
    <t>8.2.4</t>
  </si>
  <si>
    <t>Excavate to reduce levels commencing at stripped levels not exceeding 1.5m deep</t>
  </si>
  <si>
    <t>8.2.5</t>
  </si>
  <si>
    <t>Excavate for foundation trench commencing at reduced level but not exceeding 1.5m deep.</t>
  </si>
  <si>
    <t>8.2.6</t>
  </si>
  <si>
    <t>Excavate for column pits commencing at reduced level but not exceeding 1.5m deep.</t>
  </si>
  <si>
    <t>8.2.7</t>
  </si>
  <si>
    <t>Extra over excavations for excavating in rock.</t>
  </si>
  <si>
    <t>Backfill</t>
  </si>
  <si>
    <t>8.2.8</t>
  </si>
  <si>
    <t>Return fill and ram selected excavated material around foundations.</t>
  </si>
  <si>
    <t>Disposal of Excavated Materials</t>
  </si>
  <si>
    <t>8.2.10</t>
  </si>
  <si>
    <t>Load and cart away surplus excavated material from site.</t>
  </si>
  <si>
    <t>Keeping Site Free from Water</t>
  </si>
  <si>
    <t>8.2.12</t>
  </si>
  <si>
    <t>Allow for keeping the whole of the excavation free from general water</t>
  </si>
  <si>
    <t>Planking and Strutting</t>
  </si>
  <si>
    <t>8.2.13</t>
  </si>
  <si>
    <t>Allow for maintaining and upholding sides of excavation: clear off all fallen material, rubbish</t>
  </si>
  <si>
    <t>8.2.14</t>
  </si>
  <si>
    <t xml:space="preserve">Insitu concrete : mix 1:4:8 (40mm aggregate) </t>
  </si>
  <si>
    <t>8.2.15</t>
  </si>
  <si>
    <t>50mm Blinding : under footings</t>
  </si>
  <si>
    <t>8.2.16</t>
  </si>
  <si>
    <t>50mm Blinding : Ground Slab</t>
  </si>
  <si>
    <t>Insitu concrete : class 25/20mm aggregate: vibrated : reinforced including all reinforcement and necessary formwork</t>
  </si>
  <si>
    <t>8.2.17</t>
  </si>
  <si>
    <t xml:space="preserve">Column bases </t>
  </si>
  <si>
    <t>8.2.18</t>
  </si>
  <si>
    <t xml:space="preserve">Sub-Columns </t>
  </si>
  <si>
    <t>8.2.19</t>
  </si>
  <si>
    <t xml:space="preserve">Ground Beams </t>
  </si>
  <si>
    <t>8.2.20</t>
  </si>
  <si>
    <t>Basement Wall base</t>
  </si>
  <si>
    <t>8.2.21</t>
  </si>
  <si>
    <t>Basement Wall</t>
  </si>
  <si>
    <t>Hardcore and Fillings</t>
  </si>
  <si>
    <t>8.2.22</t>
  </si>
  <si>
    <t>150mm Thick Bed of handpacked stone base, well rolled and  compacted</t>
  </si>
  <si>
    <t>8.2.23</t>
  </si>
  <si>
    <t>50mm thick sand blinding over surfaces of hardcore</t>
  </si>
  <si>
    <t>Damp proof membrane</t>
  </si>
  <si>
    <t>8.2.24</t>
  </si>
  <si>
    <t>1000 Gauge polythene damp proof membrane : measured net : allow for laps</t>
  </si>
  <si>
    <t>Floor Finish</t>
  </si>
  <si>
    <t>8.2.25</t>
  </si>
  <si>
    <t>Smooth cement screed for slab surface, Sprash aproan and skirting</t>
  </si>
  <si>
    <t>8.2.26</t>
  </si>
  <si>
    <t>Damp Proof Course</t>
  </si>
  <si>
    <t>8.2.27</t>
  </si>
  <si>
    <t>Damp Proof Course of Bituminous Felt to B.S 743 Type A with 150mm laps including cement and sand (1:3) levelling bed200mm Wide</t>
  </si>
  <si>
    <t>Walling</t>
  </si>
  <si>
    <t>8.2.28</t>
  </si>
  <si>
    <t>200mm walls Burnt briks laid in Rat Trap Bond Walling: bedded and jointed in cement and sand (1:4) mortar and pointing</t>
  </si>
  <si>
    <t>8.2.29</t>
  </si>
  <si>
    <t>100mm walls Burnt briks laid in Rat Trap Bond Walling: bedded and jointed in cement and sand (1:4) mortar and pointing</t>
  </si>
  <si>
    <t>Wall Finishes</t>
  </si>
  <si>
    <t>8.2.30</t>
  </si>
  <si>
    <t>Apply plaster on internal walls, lintels and  columns</t>
  </si>
  <si>
    <t>8.2.31</t>
  </si>
  <si>
    <t>Prepare and apply three coats first grade "sadolin" silk emulsion paint: on plastered walls</t>
  </si>
  <si>
    <t>8.2.32</t>
  </si>
  <si>
    <t>Prepare and apply three coats first grade "Weather guard" paint: to columns and lintels</t>
  </si>
  <si>
    <t>Openings</t>
  </si>
  <si>
    <t>Steel doors</t>
  </si>
  <si>
    <t>Vision panelled mild steel plate door overall inlcuding fixed glass transom part and paintings</t>
  </si>
  <si>
    <t>8.2.33</t>
  </si>
  <si>
    <t xml:space="preserve"> size 2000x2400mm</t>
  </si>
  <si>
    <t>Pcs</t>
  </si>
  <si>
    <t>8.2.34</t>
  </si>
  <si>
    <t xml:space="preserve"> size 900x2400mm</t>
  </si>
  <si>
    <t>Plywood doors</t>
  </si>
  <si>
    <t>8.2.35</t>
  </si>
  <si>
    <t xml:space="preserve"> size 800x2100mm</t>
  </si>
  <si>
    <t>Steel windows</t>
  </si>
  <si>
    <t>Vision panelled mild steel plate window overall inlcuding fixed glass transom part and paintings</t>
  </si>
  <si>
    <t>8.2.36</t>
  </si>
  <si>
    <t xml:space="preserve"> size 1500x1800mm</t>
  </si>
  <si>
    <t>8.2.37</t>
  </si>
  <si>
    <t xml:space="preserve"> size 1200x600mm</t>
  </si>
  <si>
    <t>8.2.38</t>
  </si>
  <si>
    <t xml:space="preserve"> size 600x400mm</t>
  </si>
  <si>
    <t>Ceiling Finish</t>
  </si>
  <si>
    <t>8.2.39</t>
  </si>
  <si>
    <t>Gypsumboard drop ceiling: soffit 1. 40 x 40 mm steel angle section; 40 x 40 mm wood framing and 2.5 mm dia galvanised wire; 2. Principal plane gypsumboard; 3. Brush white emulsion (C3)</t>
  </si>
  <si>
    <t>Roof covering</t>
  </si>
  <si>
    <t>8.2.40</t>
  </si>
  <si>
    <t>Installation of 28G prepainted roof covering 0.4mm thick type lt4 or Maxcover with 2crest lap fixed with Fixtite with EDPM washer on 40x40x2mm RHS purlins spaced at every 1m  including all trusses and necessary accessories Note that  truss system will be 40 x 40 x 2mm RHS top chord ; bottom chord and all internal members</t>
  </si>
  <si>
    <t>Shower Tray</t>
  </si>
  <si>
    <t>8.2.41</t>
  </si>
  <si>
    <t>Supply and fix metallic shower trays 90x90cm complete with flexible tap 1/2 '' and white PVC  support</t>
  </si>
  <si>
    <t>Rain Water Harvesting</t>
  </si>
  <si>
    <t>8.2.42</t>
  </si>
  <si>
    <t>150mm diameter half round eaves gutter: including all fixing accessories</t>
  </si>
  <si>
    <t>8.2.43</t>
  </si>
  <si>
    <t>110mm diameter rainwater downpipe to M&amp;E specifications</t>
  </si>
  <si>
    <t>8.2.44</t>
  </si>
  <si>
    <t>Allow for testing  roofing system and rain water installation</t>
  </si>
  <si>
    <t>Office Installations</t>
  </si>
  <si>
    <t>8.2.45</t>
  </si>
  <si>
    <t xml:space="preserve">Allow provisional amount for office installation as per End-user requirements </t>
  </si>
  <si>
    <t>PS</t>
  </si>
  <si>
    <t>SUBTOTAL 8.2:</t>
  </si>
  <si>
    <t>Ventilated pit latrine for the Sentinel</t>
  </si>
  <si>
    <t>8.3.1</t>
  </si>
  <si>
    <t>Site clearance and removal of top vegetable soil</t>
  </si>
  <si>
    <r>
      <t>m</t>
    </r>
    <r>
      <rPr>
        <vertAlign val="superscript"/>
        <sz val="11"/>
        <rFont val="Times New Roman"/>
        <family val="1"/>
      </rPr>
      <t>3</t>
    </r>
  </si>
  <si>
    <t>8.3.2</t>
  </si>
  <si>
    <t>Terracing of the site</t>
  </si>
  <si>
    <t>8.3.3</t>
  </si>
  <si>
    <t>Digging of the pit</t>
  </si>
  <si>
    <t>8.3.4</t>
  </si>
  <si>
    <t>Excavation for foundation; h = 0,7m</t>
  </si>
  <si>
    <t>8.3.5</t>
  </si>
  <si>
    <t>Blind concrete</t>
  </si>
  <si>
    <t>8.3.6</t>
  </si>
  <si>
    <t>Foundation in stone masonry</t>
  </si>
  <si>
    <t>8.3.7</t>
  </si>
  <si>
    <t>Slabs in reinforced concrete</t>
  </si>
  <si>
    <t>8.3.8</t>
  </si>
  <si>
    <t>Walling in burnt brickwork</t>
  </si>
  <si>
    <t>8.3.9</t>
  </si>
  <si>
    <t>Lintel in reinforced concrete</t>
  </si>
  <si>
    <t>8.3.10</t>
  </si>
  <si>
    <t>Ventilator in bore hole concrete blocks</t>
  </si>
  <si>
    <t>8.3.11</t>
  </si>
  <si>
    <t xml:space="preserve">Wooden struts and purlins </t>
  </si>
  <si>
    <t>8.3.12</t>
  </si>
  <si>
    <t>Supply and fix of cover of embossed sheet iron</t>
  </si>
  <si>
    <r>
      <t>m</t>
    </r>
    <r>
      <rPr>
        <vertAlign val="superscript"/>
        <sz val="11"/>
        <rFont val="Times New Roman"/>
        <family val="1"/>
      </rPr>
      <t>2</t>
    </r>
  </si>
  <si>
    <t>8.3.13</t>
  </si>
  <si>
    <t>Wooden frieze board</t>
  </si>
  <si>
    <t>8.3.14</t>
  </si>
  <si>
    <t xml:space="preserve">Plywood doors :- 80x200 </t>
  </si>
  <si>
    <t>8.3.15</t>
  </si>
  <si>
    <t xml:space="preserve">PVC pipe 110 for ventilation + Lattice </t>
  </si>
  <si>
    <t>8.3.16</t>
  </si>
  <si>
    <t>Plinthe en ciment lissée intér. et extérieur</t>
  </si>
  <si>
    <t>8.3.17</t>
  </si>
  <si>
    <t>Plinth of the interior and exterior wall faces</t>
  </si>
  <si>
    <t>8.3.18</t>
  </si>
  <si>
    <t>Pointing of joints on external faces of walls</t>
  </si>
  <si>
    <t>8.3.19</t>
  </si>
  <si>
    <t>Paving with burnt bricks</t>
  </si>
  <si>
    <t>8.3.20</t>
  </si>
  <si>
    <t>Floor covering with hard rough finish</t>
  </si>
  <si>
    <t>8.3.21</t>
  </si>
  <si>
    <t>Splash apron</t>
  </si>
  <si>
    <t>8.3.22</t>
  </si>
  <si>
    <t>Latex paints on walls and lintel</t>
  </si>
  <si>
    <t>8.3.23</t>
  </si>
  <si>
    <t>Enamel paint on doors and wooden frieze board</t>
  </si>
  <si>
    <t>8.3.24</t>
  </si>
  <si>
    <t>Elecrification of the latrine (2 sockets, 2 fluorescent lamps and cabling)</t>
  </si>
  <si>
    <t>SUBTOTAL 8.3</t>
  </si>
  <si>
    <t>SUBTOTAL DIVISION 8:</t>
  </si>
  <si>
    <t>Water quality testing</t>
  </si>
  <si>
    <t>9.1</t>
  </si>
  <si>
    <r>
      <t>Physical parameters</t>
    </r>
    <r>
      <rPr>
        <sz val="11"/>
        <color indexed="8"/>
        <rFont val="Times New Roman"/>
        <family val="1"/>
      </rPr>
      <t>: Colour, Turbidity, Temperature, pH, Conductivity, Total Hardness (CaCO3), Total Alkalinity (CaCo3),Total Suspended Solids (TSS), Total Dissolved Solids (TDS)</t>
    </r>
  </si>
  <si>
    <t>Number</t>
  </si>
  <si>
    <t>9.2</t>
  </si>
  <si>
    <r>
      <t xml:space="preserve"> </t>
    </r>
    <r>
      <rPr>
        <b/>
        <sz val="11"/>
        <color indexed="8"/>
        <rFont val="Times New Roman"/>
        <family val="1"/>
      </rPr>
      <t>Chemical parameters:</t>
    </r>
    <r>
      <rPr>
        <sz val="11"/>
        <color indexed="8"/>
        <rFont val="Times New Roman"/>
        <family val="1"/>
      </rPr>
      <t xml:space="preserve"> Calcium (Ca2+), Magnesium (Mg2+), Sodium ( Na+), Potassium (K+), Iron (Fe2+), Bicarbonates (HCO3-) Sulfates (SO42-),  Chlorides (Cl-), Nitrate (NO3),  Nitrites (NO2- ) Phosphates (PO4 3-), Ammonium (NH4+), Fluorides (F-)</t>
    </r>
  </si>
  <si>
    <t>9.3</t>
  </si>
  <si>
    <r>
      <t xml:space="preserve">- </t>
    </r>
    <r>
      <rPr>
        <b/>
        <sz val="11"/>
        <color indexed="8"/>
        <rFont val="Times New Roman"/>
        <family val="1"/>
      </rPr>
      <t>Trace elements</t>
    </r>
    <r>
      <rPr>
        <sz val="11"/>
        <color indexed="8"/>
        <rFont val="Times New Roman"/>
        <family val="1"/>
      </rPr>
      <t>: Aluminium (Al), Antimony (Sb), Arsenic (As), Barium (Ba), Beryllium (Be), Boron (B),  Cadmium (Cd), Chromium (Cr), Copper (Cu), Cyanide (HCN – CN), Fluoride (F), Iron (Fe), Lead (Pb),  Manganese (Mn), Mercury (Hg), Molybdenum (Mo),  Nickel (Ni), Selenium (Se), Silver (Ag), Uranium (U), and Zinc (Zn)</t>
    </r>
  </si>
  <si>
    <t>9.4</t>
  </si>
  <si>
    <r>
      <t xml:space="preserve">- </t>
    </r>
    <r>
      <rPr>
        <b/>
        <sz val="11"/>
        <color indexed="8"/>
        <rFont val="Times New Roman"/>
        <family val="1"/>
      </rPr>
      <t>Bacteriological elements</t>
    </r>
    <r>
      <rPr>
        <sz val="11"/>
        <color indexed="8"/>
        <rFont val="Times New Roman"/>
        <family val="1"/>
      </rPr>
      <t>: Total Coliforms, E. Coli and Faecal Coliform</t>
    </r>
  </si>
  <si>
    <t>Sub total 9</t>
  </si>
  <si>
    <t>GRAND TOTAL ALL TAX Exclusive EURO</t>
  </si>
  <si>
    <t>VAT(TAX) EURO</t>
  </si>
  <si>
    <t>GRAND TOTAL ALL TAX INCLUSIVE Final EURO</t>
  </si>
  <si>
    <t>CONTRACTOR PROPOSAL DESCRIPTION</t>
  </si>
  <si>
    <t>AMOUNT DDP EURO ICLUDING ALL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</si>
</sst>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 _F_-;\-* #,##0.00\ _F_-;_-* &quot;-&quot;??\ _F_-;_-@_-"/>
    <numFmt numFmtId="165" formatCode="_(* #,##0_);_(* \(#,##0\);_(* &quot;-&quot;??_);_(@_)"/>
    <numFmt numFmtId="166" formatCode="_(* #,##0.0_);_(* \(#,##0.0\);_(* &quot;-&quot;??_);_(@_)"/>
    <numFmt numFmtId="167" formatCode="0.0"/>
    <numFmt numFmtId="168" formatCode="#,##0\ _€"/>
  </numFmts>
  <fonts count="38" x14ac:knownFonts="1">
    <font>
      <sz val="11"/>
      <color theme="1"/>
      <name val="Calibri"/>
      <family val="2"/>
      <scheme val="minor"/>
    </font>
    <font>
      <sz val="11"/>
      <color theme="1"/>
      <name val="Calibri"/>
      <family val="2"/>
      <scheme val="minor"/>
    </font>
    <font>
      <sz val="10"/>
      <name val="Arial"/>
      <family val="2"/>
    </font>
    <font>
      <sz val="10"/>
      <color theme="1"/>
      <name val="Arial"/>
      <family val="2"/>
    </font>
    <font>
      <sz val="12"/>
      <name val="Cambria"/>
      <family val="1"/>
    </font>
    <font>
      <sz val="12"/>
      <color theme="1"/>
      <name val="Cambria"/>
      <family val="1"/>
    </font>
    <font>
      <sz val="12"/>
      <color theme="1"/>
      <name val="Garamond"/>
      <family val="1"/>
    </font>
    <font>
      <sz val="8"/>
      <name val="Calibri"/>
      <family val="2"/>
      <scheme val="minor"/>
    </font>
    <font>
      <b/>
      <sz val="11"/>
      <name val="Times New Roman"/>
      <family val="1"/>
    </font>
    <font>
      <sz val="11"/>
      <name val="Times New Roman"/>
      <family val="1"/>
    </font>
    <font>
      <vertAlign val="superscript"/>
      <sz val="11"/>
      <name val="Times New Roman"/>
      <family val="1"/>
    </font>
    <font>
      <sz val="11"/>
      <color theme="1"/>
      <name val="Times New Roman"/>
      <family val="1"/>
    </font>
    <font>
      <sz val="11"/>
      <color rgb="FF000000"/>
      <name val="Times New Roman"/>
      <family val="1"/>
    </font>
    <font>
      <b/>
      <sz val="11"/>
      <color theme="1"/>
      <name val="Times New Roman"/>
      <family val="1"/>
    </font>
    <font>
      <vertAlign val="superscript"/>
      <sz val="11"/>
      <color theme="1"/>
      <name val="Times New Roman"/>
      <family val="1"/>
    </font>
    <font>
      <b/>
      <i/>
      <sz val="11"/>
      <color theme="1"/>
      <name val="Times New Roman"/>
      <family val="1"/>
    </font>
    <font>
      <i/>
      <sz val="11"/>
      <color theme="1"/>
      <name val="Times New Roman"/>
      <family val="1"/>
    </font>
    <font>
      <sz val="11"/>
      <color indexed="8"/>
      <name val="Times New Roman"/>
      <family val="1"/>
    </font>
    <font>
      <b/>
      <sz val="11"/>
      <color indexed="8"/>
      <name val="Times New Roman"/>
      <family val="1"/>
    </font>
    <font>
      <b/>
      <vertAlign val="superscript"/>
      <sz val="11"/>
      <name val="Times New Roman"/>
      <family val="1"/>
    </font>
    <font>
      <vertAlign val="superscript"/>
      <sz val="11"/>
      <color indexed="8"/>
      <name val="Times New Roman"/>
      <family val="1"/>
    </font>
    <font>
      <sz val="11"/>
      <color theme="1"/>
      <name val="Arial"/>
      <family val="2"/>
    </font>
    <font>
      <b/>
      <sz val="11"/>
      <color theme="1"/>
      <name val="Arial"/>
      <family val="2"/>
    </font>
    <font>
      <sz val="10"/>
      <color rgb="FF000000"/>
      <name val="Arial"/>
      <family val="2"/>
    </font>
    <font>
      <sz val="10"/>
      <color rgb="FF000000"/>
      <name val="Arial"/>
      <family val="2"/>
    </font>
    <font>
      <b/>
      <u/>
      <sz val="11"/>
      <color theme="1"/>
      <name val="Times New Roman"/>
      <family val="1"/>
    </font>
    <font>
      <sz val="12"/>
      <color theme="1"/>
      <name val="Century Gothic"/>
      <family val="2"/>
    </font>
    <font>
      <sz val="12"/>
      <color rgb="FF000000"/>
      <name val="Times New Roman"/>
      <family val="1"/>
    </font>
    <font>
      <sz val="11"/>
      <color rgb="FF000000"/>
      <name val="Calibri"/>
      <family val="2"/>
    </font>
    <font>
      <b/>
      <sz val="12"/>
      <color rgb="FF000000"/>
      <name val="Times New Roman"/>
      <family val="1"/>
    </font>
    <font>
      <sz val="10"/>
      <name val="Arial"/>
      <family val="2"/>
    </font>
    <font>
      <sz val="12"/>
      <name val="Times New Roman"/>
      <family val="1"/>
    </font>
    <font>
      <vertAlign val="superscript"/>
      <sz val="12"/>
      <name val="Times New Roman"/>
      <family val="1"/>
    </font>
    <font>
      <b/>
      <sz val="12"/>
      <name val="Times New Roman"/>
      <family val="1"/>
    </font>
    <font>
      <vertAlign val="superscript"/>
      <sz val="12"/>
      <color indexed="8"/>
      <name val="Times New Roman"/>
      <family val="1"/>
    </font>
    <font>
      <sz val="11"/>
      <name val="Arial"/>
      <family val="2"/>
    </font>
    <font>
      <b/>
      <sz val="11"/>
      <name val="Arial"/>
      <family val="2"/>
    </font>
    <font>
      <b/>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4"/>
        <bgColor indexed="64"/>
      </patternFill>
    </fill>
    <fill>
      <patternFill patternType="solid">
        <fgColor rgb="FF00B050"/>
        <bgColor indexed="64"/>
      </patternFill>
    </fill>
    <fill>
      <patternFill patternType="solid">
        <fgColor rgb="FFFFFFFF"/>
        <bgColor indexed="64"/>
      </patternFill>
    </fill>
    <fill>
      <patternFill patternType="solid">
        <fgColor rgb="FF0070C0"/>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ck">
        <color indexed="64"/>
      </right>
      <top/>
      <bottom/>
      <diagonal/>
    </border>
    <border>
      <left style="thin">
        <color indexed="64"/>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1" fillId="0" borderId="0"/>
    <xf numFmtId="0" fontId="23" fillId="0" borderId="0"/>
    <xf numFmtId="0" fontId="21" fillId="0" borderId="0"/>
    <xf numFmtId="0" fontId="24" fillId="0" borderId="0"/>
    <xf numFmtId="0" fontId="30" fillId="0" borderId="0">
      <protection locked="0"/>
    </xf>
    <xf numFmtId="0" fontId="30" fillId="0" borderId="0">
      <protection locked="0"/>
    </xf>
  </cellStyleXfs>
  <cellXfs count="381">
    <xf numFmtId="0" fontId="0" fillId="0" borderId="0" xfId="0"/>
    <xf numFmtId="0" fontId="9" fillId="0" borderId="4" xfId="0" applyFont="1" applyBorder="1" applyAlignment="1" applyProtection="1">
      <alignment horizontal="right" vertical="center"/>
      <protection locked="0"/>
    </xf>
    <xf numFmtId="0" fontId="8" fillId="0" borderId="0" xfId="0" applyFont="1" applyAlignment="1" applyProtection="1">
      <alignment vertical="center" wrapText="1"/>
      <protection locked="0"/>
    </xf>
    <xf numFmtId="165" fontId="9" fillId="0" borderId="0" xfId="1" applyNumberFormat="1" applyFont="1" applyBorder="1" applyAlignment="1" applyProtection="1">
      <alignment horizontal="center" vertical="center"/>
      <protection locked="0"/>
    </xf>
    <xf numFmtId="43" fontId="9" fillId="0" borderId="0" xfId="1" applyFont="1" applyBorder="1" applyAlignment="1" applyProtection="1">
      <alignment horizontal="center" vertical="center"/>
      <protection locked="0"/>
    </xf>
    <xf numFmtId="165" fontId="9" fillId="0" borderId="0" xfId="1" applyNumberFormat="1" applyFont="1" applyBorder="1" applyAlignment="1" applyProtection="1">
      <alignment horizontal="right" vertical="center"/>
      <protection locked="0"/>
    </xf>
    <xf numFmtId="165" fontId="9" fillId="0" borderId="13" xfId="1" applyNumberFormat="1" applyFont="1" applyBorder="1" applyAlignment="1" applyProtection="1">
      <alignment horizontal="right" vertical="center"/>
      <protection locked="0"/>
    </xf>
    <xf numFmtId="0" fontId="3" fillId="0" borderId="0" xfId="0" applyFont="1" applyAlignment="1" applyProtection="1">
      <alignment vertical="center"/>
      <protection locked="0"/>
    </xf>
    <xf numFmtId="0" fontId="9" fillId="0" borderId="5" xfId="0" applyFont="1" applyBorder="1" applyAlignment="1" applyProtection="1">
      <alignment horizontal="right" vertical="center"/>
      <protection locked="0"/>
    </xf>
    <xf numFmtId="0" fontId="9" fillId="0" borderId="0" xfId="0" applyFont="1" applyAlignment="1" applyProtection="1">
      <alignment vertical="center" wrapText="1"/>
      <protection locked="0"/>
    </xf>
    <xf numFmtId="0" fontId="12" fillId="0" borderId="0" xfId="0" applyFont="1" applyAlignment="1" applyProtection="1">
      <alignment horizontal="justify" vertical="center" wrapText="1"/>
      <protection locked="0"/>
    </xf>
    <xf numFmtId="0" fontId="3"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3" fillId="0" borderId="13" xfId="0" applyFont="1" applyBorder="1" applyAlignment="1" applyProtection="1">
      <alignment vertical="center"/>
      <protection locked="0"/>
    </xf>
    <xf numFmtId="0" fontId="9" fillId="2" borderId="0" xfId="0" applyFont="1" applyFill="1" applyAlignment="1" applyProtection="1">
      <alignment vertical="center" wrapText="1"/>
      <protection locked="0"/>
    </xf>
    <xf numFmtId="0" fontId="9" fillId="2" borderId="0" xfId="0" applyFont="1" applyFill="1" applyAlignment="1" applyProtection="1">
      <alignment horizontal="left" vertical="center" wrapText="1"/>
      <protection locked="0"/>
    </xf>
    <xf numFmtId="0" fontId="35" fillId="0" borderId="0" xfId="0" applyFont="1" applyAlignment="1" applyProtection="1">
      <alignment horizontal="left" vertical="center"/>
      <protection locked="0"/>
    </xf>
    <xf numFmtId="0" fontId="35" fillId="0" borderId="0" xfId="0" applyFont="1" applyAlignment="1" applyProtection="1">
      <alignment horizontal="center" vertical="center"/>
      <protection locked="0"/>
    </xf>
    <xf numFmtId="168" fontId="35" fillId="0" borderId="0" xfId="0" applyNumberFormat="1" applyFont="1" applyAlignment="1" applyProtection="1">
      <alignment horizontal="left" vertical="center"/>
      <protection locked="0"/>
    </xf>
    <xf numFmtId="3" fontId="35" fillId="0" borderId="13" xfId="0" applyNumberFormat="1" applyFont="1" applyBorder="1" applyAlignment="1" applyProtection="1">
      <alignment horizontal="left" vertical="center"/>
      <protection locked="0"/>
    </xf>
    <xf numFmtId="0" fontId="11" fillId="0" borderId="0" xfId="7" applyFont="1" applyAlignment="1" applyProtection="1">
      <alignment horizontal="left" vertical="center"/>
      <protection locked="0"/>
    </xf>
    <xf numFmtId="168" fontId="35" fillId="0" borderId="0" xfId="0" applyNumberFormat="1" applyFont="1" applyAlignment="1" applyProtection="1">
      <alignment horizontal="center" vertical="center"/>
      <protection locked="0"/>
    </xf>
    <xf numFmtId="3" fontId="35" fillId="0" borderId="13" xfId="0" applyNumberFormat="1" applyFont="1" applyBorder="1" applyAlignment="1" applyProtection="1">
      <alignment horizontal="right" vertical="center"/>
      <protection locked="0"/>
    </xf>
    <xf numFmtId="0" fontId="8" fillId="0" borderId="0" xfId="0" applyFont="1" applyProtection="1">
      <protection locked="0"/>
    </xf>
    <xf numFmtId="0" fontId="8"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43" fontId="8" fillId="0" borderId="0" xfId="1" applyFont="1" applyBorder="1" applyAlignment="1" applyProtection="1">
      <alignment horizontal="center" vertical="center"/>
      <protection locked="0"/>
    </xf>
    <xf numFmtId="168" fontId="36" fillId="0" borderId="0" xfId="0" applyNumberFormat="1" applyFont="1" applyAlignment="1" applyProtection="1">
      <alignment horizontal="center" vertical="center"/>
      <protection locked="0"/>
    </xf>
    <xf numFmtId="3" fontId="36" fillId="0" borderId="13" xfId="0" applyNumberFormat="1" applyFont="1" applyBorder="1" applyAlignment="1" applyProtection="1">
      <alignment horizontal="right" vertical="center"/>
      <protection locked="0"/>
    </xf>
    <xf numFmtId="43" fontId="9" fillId="0" borderId="0" xfId="1" applyFont="1" applyFill="1" applyBorder="1" applyAlignment="1" applyProtection="1">
      <alignment horizontal="center" vertical="center"/>
      <protection locked="0"/>
    </xf>
    <xf numFmtId="168" fontId="35" fillId="0" borderId="0" xfId="0" applyNumberFormat="1" applyFont="1" applyAlignment="1" applyProtection="1">
      <alignment horizontal="justify" vertical="center"/>
      <protection locked="0"/>
    </xf>
    <xf numFmtId="0" fontId="35" fillId="0" borderId="0" xfId="0" applyFont="1" applyAlignment="1" applyProtection="1">
      <alignment horizontal="left" wrapText="1"/>
      <protection locked="0"/>
    </xf>
    <xf numFmtId="0" fontId="35" fillId="0" borderId="0" xfId="0" applyFont="1" applyAlignment="1" applyProtection="1">
      <alignment horizontal="center" wrapText="1"/>
      <protection locked="0"/>
    </xf>
    <xf numFmtId="43" fontId="9" fillId="0" borderId="0" xfId="1" applyFont="1" applyBorder="1" applyAlignment="1" applyProtection="1">
      <alignment horizontal="center" vertical="center" wrapText="1"/>
      <protection locked="0"/>
    </xf>
    <xf numFmtId="0" fontId="35" fillId="0" borderId="13" xfId="0" applyFont="1" applyBorder="1" applyAlignment="1" applyProtection="1">
      <alignment horizontal="left" wrapText="1"/>
      <protection locked="0"/>
    </xf>
    <xf numFmtId="0" fontId="9" fillId="0" borderId="0" xfId="0" applyFont="1" applyAlignment="1" applyProtection="1">
      <alignment horizontal="left" vertical="center"/>
      <protection locked="0"/>
    </xf>
    <xf numFmtId="0" fontId="35" fillId="0" borderId="0" xfId="0" applyFont="1" applyAlignment="1" applyProtection="1">
      <alignment horizontal="center" vertical="justify"/>
      <protection locked="0"/>
    </xf>
    <xf numFmtId="3" fontId="35" fillId="0" borderId="0" xfId="0" applyNumberFormat="1" applyFont="1" applyAlignment="1" applyProtection="1">
      <alignment horizontal="right" vertical="center"/>
      <protection locked="0"/>
    </xf>
    <xf numFmtId="0" fontId="35" fillId="0" borderId="13" xfId="0" applyFont="1" applyBorder="1" applyProtection="1">
      <protection locked="0"/>
    </xf>
    <xf numFmtId="0" fontId="13" fillId="0" borderId="3" xfId="0" applyFont="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165" fontId="13" fillId="0" borderId="1" xfId="1" applyNumberFormat="1" applyFont="1" applyBorder="1" applyAlignment="1" applyProtection="1">
      <alignment horizontal="center" vertical="center"/>
      <protection locked="0"/>
    </xf>
    <xf numFmtId="165" fontId="13" fillId="0" borderId="1" xfId="1" applyNumberFormat="1" applyFont="1" applyBorder="1" applyAlignment="1" applyProtection="1">
      <alignment horizontal="center" vertical="center" wrapText="1"/>
      <protection locked="0"/>
    </xf>
    <xf numFmtId="165" fontId="13" fillId="0" borderId="6" xfId="1" applyNumberFormat="1" applyFont="1" applyBorder="1" applyAlignment="1" applyProtection="1">
      <alignment horizontal="center" vertical="center" wrapText="1"/>
      <protection locked="0"/>
    </xf>
    <xf numFmtId="165" fontId="13" fillId="0" borderId="6" xfId="1" applyNumberFormat="1" applyFont="1" applyBorder="1" applyAlignment="1" applyProtection="1">
      <alignment horizontal="center" vertical="center"/>
      <protection locked="0"/>
    </xf>
    <xf numFmtId="0" fontId="13" fillId="0" borderId="1" xfId="0" applyFont="1" applyBorder="1" applyAlignment="1" applyProtection="1">
      <alignment vertical="center" wrapText="1"/>
      <protection locked="0"/>
    </xf>
    <xf numFmtId="165" fontId="11" fillId="0" borderId="1" xfId="1" applyNumberFormat="1" applyFont="1" applyFill="1" applyBorder="1" applyAlignment="1" applyProtection="1">
      <alignment horizontal="center" vertical="center"/>
      <protection locked="0"/>
    </xf>
    <xf numFmtId="165" fontId="13" fillId="0" borderId="6" xfId="1" applyNumberFormat="1" applyFont="1" applyFill="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1" xfId="7" applyFont="1" applyBorder="1" applyAlignment="1" applyProtection="1">
      <alignment vertical="center" wrapText="1"/>
      <protection locked="0"/>
    </xf>
    <xf numFmtId="165" fontId="11" fillId="0" borderId="1" xfId="1" applyNumberFormat="1" applyFont="1" applyBorder="1" applyAlignment="1" applyProtection="1">
      <alignment horizontal="center" vertical="center"/>
      <protection locked="0"/>
    </xf>
    <xf numFmtId="165" fontId="11" fillId="0" borderId="6" xfId="1" applyNumberFormat="1" applyFont="1" applyBorder="1" applyAlignment="1" applyProtection="1">
      <alignment horizontal="center" vertical="center"/>
      <protection locked="0"/>
    </xf>
    <xf numFmtId="165" fontId="11" fillId="2" borderId="1" xfId="1" applyNumberFormat="1" applyFont="1" applyFill="1" applyBorder="1" applyAlignment="1" applyProtection="1">
      <alignment horizontal="center" vertical="center"/>
      <protection locked="0"/>
    </xf>
    <xf numFmtId="0" fontId="11" fillId="0" borderId="1" xfId="0" applyFont="1" applyBorder="1" applyAlignment="1" applyProtection="1">
      <alignment vertical="center" wrapText="1"/>
      <protection locked="0"/>
    </xf>
    <xf numFmtId="0" fontId="11" fillId="3" borderId="3" xfId="0" applyFont="1" applyFill="1" applyBorder="1" applyAlignment="1" applyProtection="1">
      <alignment horizontal="center" vertical="center"/>
      <protection locked="0"/>
    </xf>
    <xf numFmtId="0" fontId="13" fillId="3" borderId="1" xfId="0" applyFont="1" applyFill="1" applyBorder="1" applyAlignment="1" applyProtection="1">
      <alignment vertical="center" wrapText="1"/>
      <protection locked="0"/>
    </xf>
    <xf numFmtId="165" fontId="11" fillId="3" borderId="1" xfId="1" applyNumberFormat="1" applyFont="1" applyFill="1" applyBorder="1" applyAlignment="1" applyProtection="1">
      <alignment horizontal="center" vertical="center"/>
      <protection locked="0"/>
    </xf>
    <xf numFmtId="165" fontId="13" fillId="3" borderId="6" xfId="1" applyNumberFormat="1" applyFont="1" applyFill="1" applyBorder="1" applyAlignment="1" applyProtection="1">
      <alignment horizontal="center" vertical="center"/>
      <protection locked="0"/>
    </xf>
    <xf numFmtId="0" fontId="11" fillId="2" borderId="3" xfId="0" applyFont="1" applyFill="1" applyBorder="1" applyAlignment="1" applyProtection="1">
      <alignment vertical="center"/>
      <protection locked="0"/>
    </xf>
    <xf numFmtId="0" fontId="8" fillId="2" borderId="1" xfId="0" applyFont="1" applyFill="1" applyBorder="1" applyAlignment="1" applyProtection="1">
      <alignment vertical="center" wrapText="1"/>
      <protection locked="0"/>
    </xf>
    <xf numFmtId="165" fontId="8" fillId="2" borderId="1" xfId="1" applyNumberFormat="1" applyFont="1" applyFill="1" applyBorder="1" applyAlignment="1" applyProtection="1">
      <alignment horizontal="center" vertical="center" wrapText="1"/>
      <protection locked="0"/>
    </xf>
    <xf numFmtId="165" fontId="8" fillId="2" borderId="1" xfId="1" applyNumberFormat="1" applyFont="1" applyFill="1" applyBorder="1" applyAlignment="1" applyProtection="1">
      <alignment vertical="center" wrapText="1"/>
      <protection locked="0"/>
    </xf>
    <xf numFmtId="165" fontId="8" fillId="2" borderId="6" xfId="1" applyNumberFormat="1" applyFont="1" applyFill="1" applyBorder="1" applyAlignment="1" applyProtection="1">
      <alignment vertical="center" wrapText="1"/>
      <protection locked="0"/>
    </xf>
    <xf numFmtId="0" fontId="13" fillId="9" borderId="3" xfId="0" applyFont="1" applyFill="1" applyBorder="1" applyAlignment="1" applyProtection="1">
      <alignment horizontal="center" vertical="center"/>
      <protection locked="0"/>
    </xf>
    <xf numFmtId="0" fontId="13" fillId="9" borderId="1" xfId="0" applyFont="1" applyFill="1" applyBorder="1" applyAlignment="1" applyProtection="1">
      <alignment vertical="center" wrapText="1"/>
      <protection locked="0"/>
    </xf>
    <xf numFmtId="165" fontId="11" fillId="9" borderId="1" xfId="1" applyNumberFormat="1" applyFont="1" applyFill="1" applyBorder="1" applyAlignment="1" applyProtection="1">
      <alignment horizontal="center" vertical="center"/>
      <protection locked="0"/>
    </xf>
    <xf numFmtId="165" fontId="13" fillId="9" borderId="6" xfId="1" applyNumberFormat="1" applyFont="1" applyFill="1" applyBorder="1" applyAlignment="1" applyProtection="1">
      <alignment horizontal="center" vertical="center"/>
      <protection locked="0"/>
    </xf>
    <xf numFmtId="165" fontId="11" fillId="0" borderId="6" xfId="1"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1" xfId="0" applyFont="1" applyFill="1" applyBorder="1" applyAlignment="1" applyProtection="1">
      <alignment vertical="center" wrapText="1"/>
      <protection locked="0"/>
    </xf>
    <xf numFmtId="165" fontId="11" fillId="2" borderId="6" xfId="1" applyNumberFormat="1" applyFont="1" applyFill="1" applyBorder="1" applyAlignment="1" applyProtection="1">
      <alignment horizontal="center" vertical="center"/>
      <protection locked="0"/>
    </xf>
    <xf numFmtId="0" fontId="11" fillId="8" borderId="3" xfId="0" applyFont="1" applyFill="1" applyBorder="1" applyAlignment="1" applyProtection="1">
      <alignment horizontal="center" vertical="center"/>
      <protection locked="0"/>
    </xf>
    <xf numFmtId="0" fontId="13" fillId="8" borderId="1" xfId="0" applyFont="1" applyFill="1" applyBorder="1" applyAlignment="1" applyProtection="1">
      <alignment vertical="center" wrapText="1"/>
      <protection locked="0"/>
    </xf>
    <xf numFmtId="165" fontId="11" fillId="8" borderId="1" xfId="1" applyNumberFormat="1" applyFont="1" applyFill="1" applyBorder="1" applyAlignment="1" applyProtection="1">
      <alignment horizontal="center" vertical="center"/>
      <protection locked="0"/>
    </xf>
    <xf numFmtId="165" fontId="13" fillId="8" borderId="6" xfId="1" applyNumberFormat="1" applyFont="1" applyFill="1" applyBorder="1" applyAlignment="1" applyProtection="1">
      <alignment horizontal="center" vertical="center"/>
      <protection locked="0"/>
    </xf>
    <xf numFmtId="0" fontId="13" fillId="2" borderId="1" xfId="0" applyFont="1" applyFill="1" applyBorder="1" applyAlignment="1" applyProtection="1">
      <alignment vertical="center" wrapText="1"/>
      <protection locked="0"/>
    </xf>
    <xf numFmtId="165" fontId="13" fillId="2" borderId="6" xfId="1" applyNumberFormat="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11" fillId="9" borderId="3"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1" xfId="0" applyFont="1" applyBorder="1" applyAlignment="1" applyProtection="1">
      <alignment vertical="center" wrapText="1"/>
      <protection locked="0"/>
    </xf>
    <xf numFmtId="165" fontId="16" fillId="0" borderId="1" xfId="1" applyNumberFormat="1" applyFont="1" applyFill="1" applyBorder="1" applyAlignment="1" applyProtection="1">
      <alignment horizontal="center" vertical="center"/>
      <protection locked="0"/>
    </xf>
    <xf numFmtId="165" fontId="16" fillId="0" borderId="6" xfId="1"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1" xfId="0" applyFont="1" applyBorder="1" applyAlignment="1" applyProtection="1">
      <alignment vertical="center" wrapText="1"/>
      <protection locked="0"/>
    </xf>
    <xf numFmtId="165" fontId="16" fillId="0" borderId="1" xfId="1" applyNumberFormat="1" applyFont="1" applyBorder="1" applyAlignment="1" applyProtection="1">
      <alignment horizontal="center" vertical="center"/>
      <protection locked="0"/>
    </xf>
    <xf numFmtId="165" fontId="16" fillId="0" borderId="6" xfId="1" applyNumberFormat="1" applyFont="1" applyBorder="1" applyAlignment="1" applyProtection="1">
      <alignment horizontal="center" vertical="center"/>
      <protection locked="0"/>
    </xf>
    <xf numFmtId="0" fontId="11" fillId="2" borderId="3" xfId="0" applyFont="1" applyFill="1" applyBorder="1" applyAlignment="1" applyProtection="1">
      <alignment horizontal="center" vertical="center" wrapText="1"/>
      <protection locked="0"/>
    </xf>
    <xf numFmtId="165" fontId="9" fillId="2" borderId="1" xfId="1" applyNumberFormat="1" applyFont="1" applyFill="1" applyBorder="1" applyAlignment="1" applyProtection="1">
      <alignment horizontal="center" vertical="center"/>
      <protection locked="0"/>
    </xf>
    <xf numFmtId="165" fontId="9" fillId="2" borderId="1" xfId="1" applyNumberFormat="1" applyFont="1" applyFill="1" applyBorder="1" applyAlignment="1" applyProtection="1">
      <alignment horizontal="right" vertical="center"/>
      <protection locked="0"/>
    </xf>
    <xf numFmtId="165" fontId="9" fillId="2" borderId="6" xfId="1" applyNumberFormat="1" applyFont="1" applyFill="1" applyBorder="1" applyAlignment="1" applyProtection="1">
      <alignment horizontal="right" vertical="center" wrapText="1"/>
      <protection locked="0"/>
    </xf>
    <xf numFmtId="165" fontId="9" fillId="0" borderId="1" xfId="1" applyNumberFormat="1" applyFont="1" applyFill="1" applyBorder="1" applyAlignment="1" applyProtection="1">
      <alignment horizontal="right" vertical="center"/>
      <protection locked="0"/>
    </xf>
    <xf numFmtId="0" fontId="9" fillId="2" borderId="1" xfId="0" applyFont="1" applyFill="1" applyBorder="1" applyAlignment="1" applyProtection="1">
      <alignment vertical="center" wrapText="1"/>
      <protection locked="0"/>
    </xf>
    <xf numFmtId="0" fontId="0" fillId="0" borderId="0" xfId="0" applyProtection="1">
      <protection locked="0"/>
    </xf>
    <xf numFmtId="0" fontId="4" fillId="2" borderId="0" xfId="0" applyFont="1" applyFill="1" applyAlignment="1" applyProtection="1">
      <alignment vertical="center"/>
      <protection locked="0"/>
    </xf>
    <xf numFmtId="165" fontId="11" fillId="2" borderId="1" xfId="1" applyNumberFormat="1" applyFont="1" applyFill="1" applyBorder="1" applyAlignment="1" applyProtection="1">
      <alignment horizontal="center" vertical="center" wrapText="1"/>
      <protection locked="0"/>
    </xf>
    <xf numFmtId="165" fontId="11" fillId="2" borderId="1" xfId="1" applyNumberFormat="1" applyFont="1" applyFill="1" applyBorder="1" applyAlignment="1" applyProtection="1">
      <alignment horizontal="left" vertical="center" wrapText="1"/>
      <protection locked="0"/>
    </xf>
    <xf numFmtId="165" fontId="11" fillId="9" borderId="6" xfId="1" applyNumberFormat="1"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3" fillId="4" borderId="1" xfId="0" applyFont="1" applyFill="1" applyBorder="1" applyAlignment="1" applyProtection="1">
      <alignment vertical="center" wrapText="1"/>
      <protection locked="0"/>
    </xf>
    <xf numFmtId="165" fontId="11" fillId="4" borderId="1" xfId="1" applyNumberFormat="1" applyFont="1" applyFill="1" applyBorder="1" applyAlignment="1" applyProtection="1">
      <alignment horizontal="center" vertical="center"/>
      <protection locked="0"/>
    </xf>
    <xf numFmtId="165" fontId="13" fillId="4" borderId="6" xfId="1" applyNumberFormat="1"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3" fillId="5" borderId="1" xfId="0" applyFont="1" applyFill="1" applyBorder="1" applyAlignment="1" applyProtection="1">
      <alignment vertical="center" wrapText="1"/>
      <protection locked="0"/>
    </xf>
    <xf numFmtId="165" fontId="11" fillId="5" borderId="1" xfId="1" applyNumberFormat="1" applyFont="1" applyFill="1" applyBorder="1" applyAlignment="1" applyProtection="1">
      <alignment horizontal="center" vertical="center"/>
      <protection locked="0"/>
    </xf>
    <xf numFmtId="165" fontId="13" fillId="5" borderId="6" xfId="1" applyNumberFormat="1" applyFont="1" applyFill="1" applyBorder="1" applyAlignment="1" applyProtection="1">
      <alignment horizontal="center" vertical="center"/>
      <protection locked="0"/>
    </xf>
    <xf numFmtId="0" fontId="27" fillId="0" borderId="1" xfId="0" applyFont="1" applyBorder="1" applyAlignment="1" applyProtection="1">
      <alignment wrapText="1"/>
      <protection locked="0"/>
    </xf>
    <xf numFmtId="0" fontId="27" fillId="0" borderId="1" xfId="0" applyFont="1" applyBorder="1" applyAlignment="1" applyProtection="1">
      <alignment horizontal="center" vertical="center"/>
      <protection locked="0"/>
    </xf>
    <xf numFmtId="166" fontId="27" fillId="0" borderId="1" xfId="1" applyNumberFormat="1" applyFont="1" applyBorder="1" applyAlignment="1" applyProtection="1">
      <alignment vertical="center"/>
      <protection locked="0"/>
    </xf>
    <xf numFmtId="165" fontId="27" fillId="0" borderId="6" xfId="1" applyNumberFormat="1" applyFont="1" applyBorder="1" applyAlignment="1" applyProtection="1">
      <alignment vertical="center"/>
      <protection locked="0"/>
    </xf>
    <xf numFmtId="0" fontId="29" fillId="2" borderId="1" xfId="0" applyFont="1" applyFill="1" applyBorder="1" applyAlignment="1" applyProtection="1">
      <alignment wrapText="1"/>
      <protection locked="0"/>
    </xf>
    <xf numFmtId="0" fontId="27" fillId="2" borderId="1" xfId="0" applyFont="1" applyFill="1" applyBorder="1" applyAlignment="1" applyProtection="1">
      <alignment horizontal="center" vertical="center"/>
      <protection locked="0"/>
    </xf>
    <xf numFmtId="166" fontId="27" fillId="2" borderId="1" xfId="1" applyNumberFormat="1" applyFont="1" applyFill="1" applyBorder="1" applyAlignment="1" applyProtection="1">
      <alignment vertical="center"/>
      <protection locked="0"/>
    </xf>
    <xf numFmtId="165" fontId="27" fillId="2" borderId="6" xfId="1" applyNumberFormat="1" applyFont="1" applyFill="1" applyBorder="1" applyAlignment="1" applyProtection="1">
      <alignment vertical="center"/>
      <protection locked="0"/>
    </xf>
    <xf numFmtId="166" fontId="27" fillId="0" borderId="1" xfId="1" applyNumberFormat="1" applyFont="1" applyBorder="1" applyAlignment="1" applyProtection="1">
      <alignment horizontal="right" vertical="center"/>
      <protection locked="0"/>
    </xf>
    <xf numFmtId="165" fontId="31" fillId="0" borderId="6" xfId="1" applyNumberFormat="1" applyFont="1" applyBorder="1" applyAlignment="1" applyProtection="1">
      <alignment vertical="center" wrapText="1"/>
      <protection locked="0"/>
    </xf>
    <xf numFmtId="0" fontId="12" fillId="0" borderId="1" xfId="0" applyFont="1" applyBorder="1" applyAlignment="1" applyProtection="1">
      <alignment wrapText="1"/>
      <protection locked="0"/>
    </xf>
    <xf numFmtId="0" fontId="12" fillId="0" borderId="1" xfId="0" applyFont="1" applyBorder="1" applyAlignment="1" applyProtection="1">
      <alignment horizontal="center" vertical="center"/>
      <protection locked="0"/>
    </xf>
    <xf numFmtId="166" fontId="28" fillId="0" borderId="1" xfId="1" applyNumberFormat="1" applyFont="1" applyBorder="1" applyAlignment="1" applyProtection="1">
      <alignment vertical="center"/>
      <protection locked="0"/>
    </xf>
    <xf numFmtId="166" fontId="27" fillId="2" borderId="1" xfId="1" applyNumberFormat="1" applyFont="1" applyFill="1" applyBorder="1" applyAlignment="1" applyProtection="1">
      <alignment horizontal="right" vertical="center"/>
      <protection locked="0"/>
    </xf>
    <xf numFmtId="165" fontId="31" fillId="2" borderId="6" xfId="1" applyNumberFormat="1" applyFont="1" applyFill="1" applyBorder="1" applyAlignment="1" applyProtection="1">
      <alignment vertical="center" wrapText="1"/>
      <protection locked="0"/>
    </xf>
    <xf numFmtId="166" fontId="31" fillId="0" borderId="1" xfId="1" applyNumberFormat="1" applyFont="1" applyBorder="1" applyAlignment="1" applyProtection="1">
      <alignment vertical="center" wrapText="1"/>
      <protection locked="0"/>
    </xf>
    <xf numFmtId="165" fontId="33" fillId="0" borderId="6" xfId="1" applyNumberFormat="1" applyFont="1" applyBorder="1" applyAlignment="1" applyProtection="1">
      <alignment vertical="center" wrapText="1"/>
      <protection locked="0"/>
    </xf>
    <xf numFmtId="0" fontId="29" fillId="2" borderId="1" xfId="0" applyFont="1" applyFill="1" applyBorder="1" applyAlignment="1" applyProtection="1">
      <alignment vertical="top" wrapText="1"/>
      <protection locked="0"/>
    </xf>
    <xf numFmtId="0" fontId="27" fillId="2" borderId="1" xfId="0" applyFont="1" applyFill="1" applyBorder="1" applyAlignment="1" applyProtection="1">
      <alignment horizontal="center" vertical="center" wrapText="1"/>
      <protection locked="0"/>
    </xf>
    <xf numFmtId="166" fontId="27" fillId="2" borderId="1" xfId="1" applyNumberFormat="1" applyFont="1" applyFill="1" applyBorder="1" applyAlignment="1" applyProtection="1">
      <alignment vertical="center" wrapText="1"/>
      <protection locked="0"/>
    </xf>
    <xf numFmtId="165" fontId="27" fillId="2" borderId="6" xfId="1" applyNumberFormat="1" applyFont="1" applyFill="1" applyBorder="1" applyAlignment="1" applyProtection="1">
      <alignment vertical="center" wrapText="1"/>
      <protection locked="0"/>
    </xf>
    <xf numFmtId="0" fontId="27" fillId="0" borderId="1" xfId="0" applyFont="1" applyBorder="1" applyAlignment="1" applyProtection="1">
      <alignment vertical="center" wrapText="1"/>
      <protection locked="0"/>
    </xf>
    <xf numFmtId="166" fontId="31" fillId="0" borderId="1" xfId="1" applyNumberFormat="1" applyFont="1" applyBorder="1" applyAlignment="1" applyProtection="1">
      <alignment vertical="center"/>
      <protection locked="0"/>
    </xf>
    <xf numFmtId="0" fontId="27" fillId="0" borderId="1" xfId="0" applyFont="1" applyBorder="1" applyAlignment="1" applyProtection="1">
      <alignment vertical="top" wrapText="1"/>
      <protection locked="0"/>
    </xf>
    <xf numFmtId="166" fontId="33" fillId="2" borderId="1" xfId="1" applyNumberFormat="1" applyFont="1" applyFill="1" applyBorder="1" applyAlignment="1" applyProtection="1">
      <alignment vertical="center" wrapText="1"/>
      <protection locked="0"/>
    </xf>
    <xf numFmtId="165" fontId="33" fillId="2" borderId="6" xfId="1" applyNumberFormat="1" applyFont="1" applyFill="1" applyBorder="1" applyAlignment="1" applyProtection="1">
      <alignment vertical="center" wrapText="1"/>
      <protection locked="0"/>
    </xf>
    <xf numFmtId="166" fontId="33" fillId="2" borderId="1" xfId="1" applyNumberFormat="1" applyFont="1" applyFill="1" applyBorder="1" applyAlignment="1" applyProtection="1">
      <alignment vertical="center"/>
      <protection locked="0"/>
    </xf>
    <xf numFmtId="165" fontId="33" fillId="2" borderId="6" xfId="1" applyNumberFormat="1" applyFont="1" applyFill="1" applyBorder="1" applyAlignment="1" applyProtection="1">
      <alignment vertical="center"/>
      <protection locked="0"/>
    </xf>
    <xf numFmtId="0" fontId="26" fillId="0" borderId="0" xfId="0" applyFont="1" applyProtection="1">
      <protection locked="0"/>
    </xf>
    <xf numFmtId="166" fontId="31" fillId="2" borderId="3" xfId="1" applyNumberFormat="1" applyFont="1" applyFill="1" applyBorder="1" applyAlignment="1" applyProtection="1">
      <alignment vertical="center"/>
      <protection locked="0"/>
    </xf>
    <xf numFmtId="166" fontId="31" fillId="2" borderId="1" xfId="1" applyNumberFormat="1" applyFont="1" applyFill="1" applyBorder="1" applyAlignment="1" applyProtection="1">
      <alignment vertical="center"/>
      <protection locked="0"/>
    </xf>
    <xf numFmtId="166" fontId="31" fillId="2" borderId="1" xfId="1" applyNumberFormat="1" applyFont="1" applyFill="1" applyBorder="1" applyAlignment="1" applyProtection="1">
      <alignment horizontal="center" vertical="center"/>
      <protection locked="0"/>
    </xf>
    <xf numFmtId="165" fontId="31" fillId="2" borderId="6" xfId="1" applyNumberFormat="1" applyFont="1" applyFill="1" applyBorder="1" applyAlignment="1" applyProtection="1">
      <alignment vertical="center"/>
      <protection locked="0"/>
    </xf>
    <xf numFmtId="0" fontId="21" fillId="0" borderId="0" xfId="0" applyFont="1" applyAlignment="1" applyProtection="1">
      <alignment horizontal="left" vertical="center"/>
      <protection locked="0"/>
    </xf>
    <xf numFmtId="0" fontId="31" fillId="7" borderId="1" xfId="0" applyFont="1" applyFill="1" applyBorder="1" applyAlignment="1" applyProtection="1">
      <alignment vertical="center" wrapText="1"/>
      <protection locked="0"/>
    </xf>
    <xf numFmtId="0" fontId="31" fillId="7" borderId="1" xfId="0" applyFont="1" applyFill="1" applyBorder="1" applyAlignment="1" applyProtection="1">
      <alignment horizontal="center" vertical="center"/>
      <protection locked="0"/>
    </xf>
    <xf numFmtId="166" fontId="31" fillId="0" borderId="1" xfId="1" applyNumberFormat="1" applyFont="1" applyBorder="1" applyAlignment="1" applyProtection="1">
      <alignment horizontal="center" vertical="center"/>
      <protection locked="0"/>
    </xf>
    <xf numFmtId="165" fontId="31" fillId="0" borderId="6" xfId="1" applyNumberFormat="1" applyFont="1" applyBorder="1" applyAlignment="1" applyProtection="1">
      <alignment vertical="center"/>
      <protection locked="0"/>
    </xf>
    <xf numFmtId="0" fontId="31" fillId="2" borderId="1" xfId="0"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0" fontId="33" fillId="2" borderId="1" xfId="0" applyFont="1" applyFill="1" applyBorder="1" applyAlignment="1" applyProtection="1">
      <alignment vertical="top" wrapText="1"/>
      <protection locked="0"/>
    </xf>
    <xf numFmtId="0" fontId="31" fillId="0" borderId="1" xfId="0" applyFont="1" applyBorder="1" applyAlignment="1" applyProtection="1">
      <alignment vertical="center" wrapText="1"/>
      <protection locked="0"/>
    </xf>
    <xf numFmtId="0" fontId="31" fillId="0" borderId="1" xfId="0" applyFont="1" applyBorder="1" applyAlignment="1" applyProtection="1">
      <alignment horizontal="center" vertical="center"/>
      <protection locked="0"/>
    </xf>
    <xf numFmtId="0" fontId="5" fillId="0" borderId="0" xfId="0" applyFont="1" applyAlignment="1" applyProtection="1">
      <alignment vertical="center"/>
      <protection locked="0"/>
    </xf>
    <xf numFmtId="166" fontId="31" fillId="2" borderId="1" xfId="1" applyNumberFormat="1" applyFont="1" applyFill="1" applyBorder="1" applyAlignment="1" applyProtection="1">
      <alignment vertical="center" wrapText="1"/>
      <protection locked="0"/>
    </xf>
    <xf numFmtId="0" fontId="5" fillId="2" borderId="0" xfId="0" applyFont="1" applyFill="1" applyAlignment="1" applyProtection="1">
      <alignment vertical="center"/>
      <protection locked="0"/>
    </xf>
    <xf numFmtId="0" fontId="9" fillId="0" borderId="3" xfId="0" applyFont="1" applyBorder="1" applyAlignment="1" applyProtection="1">
      <alignment horizontal="right" vertical="justify"/>
      <protection locked="0"/>
    </xf>
    <xf numFmtId="0" fontId="9" fillId="9" borderId="3" xfId="0" applyFont="1" applyFill="1" applyBorder="1" applyAlignment="1" applyProtection="1">
      <alignment horizontal="right" vertical="justify"/>
      <protection locked="0"/>
    </xf>
    <xf numFmtId="0" fontId="8" fillId="9" borderId="1" xfId="0" applyFont="1" applyFill="1" applyBorder="1" applyAlignment="1" applyProtection="1">
      <alignment vertical="justify"/>
      <protection locked="0"/>
    </xf>
    <xf numFmtId="0" fontId="8" fillId="9" borderId="1" xfId="0" applyFont="1" applyFill="1" applyBorder="1" applyAlignment="1" applyProtection="1">
      <alignment horizontal="center" vertical="justify"/>
      <protection locked="0"/>
    </xf>
    <xf numFmtId="165" fontId="8" fillId="9" borderId="6" xfId="0" applyNumberFormat="1" applyFont="1" applyFill="1" applyBorder="1" applyAlignment="1" applyProtection="1">
      <alignment vertical="justify"/>
      <protection locked="0"/>
    </xf>
    <xf numFmtId="0" fontId="9" fillId="8" borderId="3" xfId="0" applyFont="1" applyFill="1" applyBorder="1" applyAlignment="1" applyProtection="1">
      <alignment horizontal="right" vertical="justify"/>
      <protection locked="0"/>
    </xf>
    <xf numFmtId="0" fontId="8" fillId="8" borderId="1" xfId="0" applyFont="1" applyFill="1" applyBorder="1" applyAlignment="1" applyProtection="1">
      <alignment vertical="justify"/>
      <protection locked="0"/>
    </xf>
    <xf numFmtId="0" fontId="8" fillId="8" borderId="1" xfId="0" applyFont="1" applyFill="1" applyBorder="1" applyAlignment="1" applyProtection="1">
      <alignment horizontal="center" vertical="justify"/>
      <protection locked="0"/>
    </xf>
    <xf numFmtId="165" fontId="8" fillId="8" borderId="6" xfId="0" applyNumberFormat="1" applyFont="1" applyFill="1" applyBorder="1" applyAlignment="1" applyProtection="1">
      <alignment vertical="justify"/>
      <protection locked="0"/>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center" vertical="justify"/>
      <protection locked="0"/>
    </xf>
    <xf numFmtId="165" fontId="9" fillId="0" borderId="1" xfId="1" applyNumberFormat="1" applyFont="1" applyBorder="1" applyAlignment="1" applyProtection="1">
      <alignment horizontal="right" vertical="justify"/>
      <protection locked="0"/>
    </xf>
    <xf numFmtId="165" fontId="9" fillId="0" borderId="6" xfId="1" applyNumberFormat="1" applyFont="1" applyBorder="1" applyAlignment="1" applyProtection="1">
      <protection locked="0"/>
    </xf>
    <xf numFmtId="0" fontId="13" fillId="0" borderId="1" xfId="0" applyFont="1" applyBorder="1" applyAlignment="1" applyProtection="1">
      <alignment vertical="center"/>
      <protection locked="0"/>
    </xf>
    <xf numFmtId="49" fontId="11" fillId="0" borderId="3"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165" fontId="11" fillId="2" borderId="1" xfId="1" applyNumberFormat="1" applyFont="1" applyFill="1" applyBorder="1" applyAlignment="1" applyProtection="1">
      <alignment horizontal="right" vertical="center"/>
      <protection locked="0"/>
    </xf>
    <xf numFmtId="165" fontId="11" fillId="2" borderId="6" xfId="1" applyNumberFormat="1" applyFont="1" applyFill="1" applyBorder="1" applyAlignment="1" applyProtection="1">
      <alignment horizontal="right" vertical="center"/>
      <protection locked="0"/>
    </xf>
    <xf numFmtId="49" fontId="11" fillId="9" borderId="3" xfId="0" applyNumberFormat="1" applyFont="1" applyFill="1" applyBorder="1" applyAlignment="1" applyProtection="1">
      <alignment horizontal="center" vertical="center"/>
      <protection locked="0"/>
    </xf>
    <xf numFmtId="0" fontId="13" fillId="9" borderId="1" xfId="0" applyFont="1" applyFill="1" applyBorder="1" applyAlignment="1" applyProtection="1">
      <alignment horizontal="left" vertical="center" wrapText="1"/>
      <protection locked="0"/>
    </xf>
    <xf numFmtId="0" fontId="13" fillId="9" borderId="1" xfId="0" applyFont="1" applyFill="1" applyBorder="1" applyAlignment="1" applyProtection="1">
      <alignment horizontal="center" vertical="center" wrapText="1"/>
      <protection locked="0"/>
    </xf>
    <xf numFmtId="165" fontId="13" fillId="9" borderId="6" xfId="1" applyNumberFormat="1" applyFont="1" applyFill="1" applyBorder="1" applyAlignment="1" applyProtection="1">
      <alignment horizontal="right" vertical="center"/>
      <protection locked="0"/>
    </xf>
    <xf numFmtId="49" fontId="13" fillId="0" borderId="3" xfId="0" applyNumberFormat="1" applyFont="1" applyBorder="1" applyAlignment="1" applyProtection="1">
      <alignment horizontal="center" vertical="center"/>
      <protection locked="0"/>
    </xf>
    <xf numFmtId="0" fontId="25" fillId="0" borderId="1" xfId="0" applyFont="1" applyBorder="1" applyAlignment="1" applyProtection="1">
      <alignment horizontal="left" vertical="center" wrapText="1"/>
      <protection locked="0"/>
    </xf>
    <xf numFmtId="0" fontId="11" fillId="2" borderId="1" xfId="0" applyFont="1" applyFill="1" applyBorder="1" applyAlignment="1" applyProtection="1">
      <alignment horizontal="left" vertical="justify" wrapText="1"/>
      <protection locked="0"/>
    </xf>
    <xf numFmtId="0" fontId="9" fillId="0" borderId="1" xfId="0" applyFont="1" applyBorder="1" applyAlignment="1" applyProtection="1">
      <alignment vertical="center" wrapText="1"/>
      <protection locked="0"/>
    </xf>
    <xf numFmtId="165" fontId="9" fillId="0" borderId="1" xfId="1" applyNumberFormat="1" applyFont="1" applyFill="1" applyBorder="1" applyAlignment="1" applyProtection="1">
      <alignment horizontal="center" vertical="center"/>
      <protection locked="0"/>
    </xf>
    <xf numFmtId="165" fontId="9" fillId="0" borderId="6" xfId="1" applyNumberFormat="1" applyFont="1" applyFill="1" applyBorder="1" applyAlignment="1" applyProtection="1">
      <alignment horizontal="center" vertical="center"/>
      <protection locked="0"/>
    </xf>
    <xf numFmtId="0" fontId="13" fillId="0" borderId="3" xfId="0" applyFont="1" applyBorder="1" applyAlignment="1" applyProtection="1">
      <alignment horizontal="center" vertical="center" wrapText="1"/>
      <protection locked="0"/>
    </xf>
    <xf numFmtId="0" fontId="11" fillId="9" borderId="3" xfId="0" applyFont="1" applyFill="1" applyBorder="1" applyAlignment="1" applyProtection="1">
      <alignment horizontal="center" vertical="center" wrapText="1"/>
      <protection locked="0"/>
    </xf>
    <xf numFmtId="0" fontId="4" fillId="0" borderId="0" xfId="0" applyFont="1" applyAlignment="1" applyProtection="1">
      <alignment vertical="center"/>
      <protection locked="0"/>
    </xf>
    <xf numFmtId="0" fontId="21" fillId="9" borderId="3" xfId="0" applyFont="1" applyFill="1" applyBorder="1" applyAlignment="1" applyProtection="1">
      <alignment horizontal="center" vertical="center"/>
      <protection locked="0"/>
    </xf>
    <xf numFmtId="0" fontId="22" fillId="9" borderId="1" xfId="0" applyFont="1" applyFill="1" applyBorder="1" applyAlignment="1" applyProtection="1">
      <alignment horizontal="left" vertical="center" wrapText="1"/>
      <protection locked="0"/>
    </xf>
    <xf numFmtId="165" fontId="22" fillId="9" borderId="6" xfId="1" applyNumberFormat="1" applyFont="1" applyFill="1" applyBorder="1" applyAlignment="1" applyProtection="1">
      <alignment horizontal="right" vertical="center"/>
      <protection locked="0"/>
    </xf>
    <xf numFmtId="0" fontId="8" fillId="9" borderId="3" xfId="0" applyFont="1" applyFill="1" applyBorder="1" applyAlignment="1" applyProtection="1">
      <alignment horizontal="left" vertical="center" wrapText="1"/>
      <protection locked="0"/>
    </xf>
    <xf numFmtId="0" fontId="8" fillId="9" borderId="1" xfId="0" applyFont="1" applyFill="1" applyBorder="1" applyAlignment="1" applyProtection="1">
      <alignment horizontal="left" vertical="center" wrapText="1"/>
      <protection locked="0"/>
    </xf>
    <xf numFmtId="165" fontId="9" fillId="9" borderId="1" xfId="1" applyNumberFormat="1" applyFont="1" applyFill="1" applyBorder="1" applyAlignment="1" applyProtection="1">
      <alignment horizontal="center" vertical="center" wrapText="1"/>
      <protection locked="0"/>
    </xf>
    <xf numFmtId="165" fontId="9" fillId="9" borderId="1" xfId="1" applyNumberFormat="1" applyFont="1" applyFill="1" applyBorder="1" applyAlignment="1" applyProtection="1">
      <alignment horizontal="left" vertical="center" wrapText="1"/>
      <protection locked="0"/>
    </xf>
    <xf numFmtId="165" fontId="9" fillId="9" borderId="6" xfId="1" applyNumberFormat="1" applyFont="1" applyFill="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165" fontId="9" fillId="0" borderId="1" xfId="1" applyNumberFormat="1" applyFont="1" applyFill="1" applyBorder="1" applyAlignment="1" applyProtection="1">
      <alignment horizontal="center" vertical="center" wrapText="1"/>
      <protection locked="0"/>
    </xf>
    <xf numFmtId="165" fontId="9" fillId="0" borderId="1" xfId="1" applyNumberFormat="1" applyFont="1" applyFill="1" applyBorder="1" applyAlignment="1" applyProtection="1">
      <alignment horizontal="left" vertical="center" wrapText="1"/>
      <protection locked="0"/>
    </xf>
    <xf numFmtId="165" fontId="9" fillId="0" borderId="6" xfId="1" applyNumberFormat="1"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6" xfId="0" applyFont="1" applyBorder="1" applyAlignment="1" applyProtection="1">
      <alignment vertical="center"/>
      <protection locked="0"/>
    </xf>
    <xf numFmtId="0" fontId="9" fillId="0" borderId="3" xfId="0" applyFont="1" applyBorder="1" applyAlignment="1" applyProtection="1">
      <alignment vertical="center" wrapText="1"/>
      <protection locked="0"/>
    </xf>
    <xf numFmtId="165" fontId="9" fillId="0" borderId="1" xfId="1" applyNumberFormat="1" applyFont="1" applyBorder="1" applyAlignment="1" applyProtection="1">
      <alignment horizontal="center" vertical="center" wrapText="1"/>
      <protection locked="0"/>
    </xf>
    <xf numFmtId="165" fontId="9" fillId="0" borderId="1" xfId="1" applyNumberFormat="1" applyFont="1" applyBorder="1" applyAlignment="1" applyProtection="1">
      <alignment vertical="center" wrapText="1"/>
      <protection locked="0"/>
    </xf>
    <xf numFmtId="165" fontId="9" fillId="0" borderId="6" xfId="1" applyNumberFormat="1" applyFont="1" applyBorder="1" applyAlignment="1" applyProtection="1">
      <alignment vertical="center" wrapText="1"/>
      <protection locked="0"/>
    </xf>
    <xf numFmtId="0" fontId="13" fillId="9" borderId="1" xfId="0" applyFont="1" applyFill="1" applyBorder="1" applyAlignment="1" applyProtection="1">
      <alignment vertical="center"/>
      <protection locked="0"/>
    </xf>
    <xf numFmtId="0" fontId="11" fillId="5" borderId="3" xfId="0" applyFont="1" applyFill="1" applyBorder="1" applyAlignment="1" applyProtection="1">
      <alignment vertical="center" wrapText="1"/>
      <protection locked="0"/>
    </xf>
    <xf numFmtId="165" fontId="13" fillId="5" borderId="1" xfId="1" applyNumberFormat="1" applyFont="1" applyFill="1" applyBorder="1" applyAlignment="1" applyProtection="1">
      <alignment horizontal="center" vertical="center" wrapText="1"/>
      <protection locked="0"/>
    </xf>
    <xf numFmtId="165" fontId="13" fillId="5" borderId="1" xfId="1" applyNumberFormat="1" applyFont="1" applyFill="1" applyBorder="1" applyAlignment="1" applyProtection="1">
      <alignment vertical="center" wrapText="1"/>
      <protection locked="0"/>
    </xf>
    <xf numFmtId="165" fontId="13" fillId="5" borderId="6" xfId="1" applyNumberFormat="1" applyFont="1" applyFill="1" applyBorder="1" applyAlignment="1" applyProtection="1">
      <alignment vertical="center" wrapText="1"/>
      <protection locked="0"/>
    </xf>
    <xf numFmtId="0" fontId="8" fillId="9" borderId="3" xfId="0" applyFont="1" applyFill="1" applyBorder="1" applyAlignment="1" applyProtection="1">
      <alignment horizontal="right" vertical="justify"/>
      <protection locked="0"/>
    </xf>
    <xf numFmtId="0" fontId="8" fillId="9" borderId="1" xfId="0" applyFont="1" applyFill="1" applyBorder="1" applyAlignment="1" applyProtection="1">
      <alignment horizontal="left" vertical="justify"/>
      <protection locked="0"/>
    </xf>
    <xf numFmtId="0" fontId="8" fillId="9" borderId="6" xfId="0" applyFont="1" applyFill="1" applyBorder="1" applyAlignment="1" applyProtection="1">
      <alignment horizontal="left" vertical="justify"/>
      <protection locked="0"/>
    </xf>
    <xf numFmtId="0" fontId="9" fillId="2" borderId="3" xfId="0" applyFont="1" applyFill="1" applyBorder="1" applyAlignment="1" applyProtection="1">
      <alignment horizontal="right" vertical="justify"/>
      <protection locked="0"/>
    </xf>
    <xf numFmtId="0" fontId="8" fillId="2" borderId="1" xfId="0" applyFont="1" applyFill="1" applyBorder="1" applyAlignment="1" applyProtection="1">
      <alignment vertical="justify"/>
      <protection locked="0"/>
    </xf>
    <xf numFmtId="0" fontId="9" fillId="2" borderId="1" xfId="0" applyFont="1" applyFill="1" applyBorder="1" applyAlignment="1" applyProtection="1">
      <alignment horizontal="center" vertical="justify"/>
      <protection locked="0"/>
    </xf>
    <xf numFmtId="165" fontId="9" fillId="2" borderId="1" xfId="1" applyNumberFormat="1" applyFont="1" applyFill="1" applyBorder="1" applyAlignment="1" applyProtection="1">
      <alignment horizontal="right" vertical="justify"/>
      <protection locked="0"/>
    </xf>
    <xf numFmtId="165" fontId="8" fillId="2" borderId="6" xfId="1" applyNumberFormat="1" applyFont="1" applyFill="1" applyBorder="1" applyAlignment="1" applyProtection="1">
      <alignment vertical="justify"/>
      <protection locked="0"/>
    </xf>
    <xf numFmtId="165" fontId="8" fillId="9" borderId="1" xfId="1" applyNumberFormat="1" applyFont="1" applyFill="1" applyBorder="1" applyAlignment="1" applyProtection="1">
      <alignment vertical="justify"/>
      <protection locked="0"/>
    </xf>
    <xf numFmtId="165" fontId="8" fillId="9" borderId="6" xfId="1" applyNumberFormat="1" applyFont="1" applyFill="1" applyBorder="1" applyAlignment="1" applyProtection="1">
      <alignment vertical="justify"/>
      <protection locked="0"/>
    </xf>
    <xf numFmtId="0" fontId="8" fillId="2" borderId="3" xfId="0" applyFont="1" applyFill="1" applyBorder="1" applyAlignment="1" applyProtection="1">
      <alignment horizontal="right" vertical="justify"/>
      <protection locked="0"/>
    </xf>
    <xf numFmtId="165" fontId="11" fillId="2" borderId="1" xfId="1" applyNumberFormat="1" applyFont="1" applyFill="1" applyBorder="1" applyAlignment="1" applyProtection="1">
      <alignment vertical="center" wrapText="1"/>
      <protection locked="0"/>
    </xf>
    <xf numFmtId="0" fontId="11" fillId="2" borderId="3" xfId="0" applyFont="1" applyFill="1" applyBorder="1" applyAlignment="1" applyProtection="1">
      <alignment vertical="center" wrapText="1"/>
      <protection locked="0"/>
    </xf>
    <xf numFmtId="0" fontId="11"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protection locked="0"/>
    </xf>
    <xf numFmtId="0" fontId="9" fillId="5" borderId="3" xfId="0" applyFont="1" applyFill="1" applyBorder="1" applyAlignment="1" applyProtection="1">
      <alignment horizontal="right" vertical="justify"/>
      <protection locked="0"/>
    </xf>
    <xf numFmtId="0" fontId="8" fillId="5" borderId="1" xfId="0" applyFont="1" applyFill="1" applyBorder="1" applyAlignment="1" applyProtection="1">
      <alignment vertical="justify"/>
      <protection locked="0"/>
    </xf>
    <xf numFmtId="0" fontId="9" fillId="5" borderId="1" xfId="0" applyFont="1" applyFill="1" applyBorder="1" applyAlignment="1" applyProtection="1">
      <alignment horizontal="center" vertical="justify"/>
      <protection locked="0"/>
    </xf>
    <xf numFmtId="165" fontId="9" fillId="5" borderId="1" xfId="1" applyNumberFormat="1" applyFont="1" applyFill="1" applyBorder="1" applyAlignment="1" applyProtection="1">
      <alignment horizontal="right" vertical="justify"/>
      <protection locked="0"/>
    </xf>
    <xf numFmtId="165" fontId="8" fillId="5" borderId="6" xfId="1" applyNumberFormat="1" applyFont="1" applyFill="1" applyBorder="1" applyAlignment="1" applyProtection="1">
      <alignment vertical="justify"/>
      <protection locked="0"/>
    </xf>
    <xf numFmtId="0" fontId="13" fillId="2" borderId="1" xfId="0" applyFont="1" applyFill="1" applyBorder="1" applyAlignment="1" applyProtection="1">
      <alignment horizontal="left" vertical="center"/>
      <protection locked="0"/>
    </xf>
    <xf numFmtId="165" fontId="9" fillId="9" borderId="1" xfId="1" applyNumberFormat="1" applyFont="1" applyFill="1" applyBorder="1" applyAlignment="1" applyProtection="1">
      <alignment horizontal="center" vertical="justify"/>
      <protection locked="0"/>
    </xf>
    <xf numFmtId="165" fontId="9" fillId="9" borderId="1" xfId="1" applyNumberFormat="1" applyFont="1" applyFill="1" applyBorder="1" applyAlignment="1" applyProtection="1">
      <alignment vertical="justify"/>
      <protection locked="0"/>
    </xf>
    <xf numFmtId="165" fontId="9" fillId="9" borderId="6" xfId="1" applyNumberFormat="1" applyFont="1" applyFill="1" applyBorder="1" applyAlignment="1" applyProtection="1">
      <alignment vertical="justify"/>
      <protection locked="0"/>
    </xf>
    <xf numFmtId="0" fontId="13" fillId="2" borderId="3" xfId="0" applyFont="1" applyFill="1" applyBorder="1" applyAlignment="1" applyProtection="1">
      <alignment horizontal="right" vertical="center" wrapText="1"/>
      <protection locked="0"/>
    </xf>
    <xf numFmtId="165" fontId="11" fillId="2" borderId="6" xfId="1" applyNumberFormat="1" applyFont="1" applyFill="1" applyBorder="1" applyAlignment="1" applyProtection="1">
      <alignment vertical="center" wrapText="1"/>
      <protection locked="0"/>
    </xf>
    <xf numFmtId="0" fontId="11" fillId="2" borderId="3" xfId="0" applyFont="1" applyFill="1" applyBorder="1" applyAlignment="1" applyProtection="1">
      <alignment horizontal="right" vertical="center" wrapText="1"/>
      <protection locked="0"/>
    </xf>
    <xf numFmtId="0" fontId="6" fillId="0" borderId="0" xfId="0" applyFont="1" applyProtection="1">
      <protection locked="0"/>
    </xf>
    <xf numFmtId="0" fontId="13" fillId="2" borderId="1" xfId="0" applyFont="1" applyFill="1" applyBorder="1" applyAlignment="1" applyProtection="1">
      <alignment horizontal="left" vertical="center" wrapText="1"/>
      <protection locked="0"/>
    </xf>
    <xf numFmtId="165" fontId="8" fillId="9" borderId="1" xfId="1" applyNumberFormat="1" applyFont="1" applyFill="1" applyBorder="1" applyAlignment="1" applyProtection="1">
      <alignment horizontal="center"/>
      <protection locked="0"/>
    </xf>
    <xf numFmtId="165" fontId="8" fillId="9" borderId="1" xfId="1" applyNumberFormat="1" applyFont="1" applyFill="1" applyBorder="1" applyAlignment="1" applyProtection="1">
      <alignment horizontal="right"/>
      <protection locked="0"/>
    </xf>
    <xf numFmtId="165" fontId="8" fillId="2" borderId="1" xfId="1" applyNumberFormat="1" applyFont="1" applyFill="1" applyBorder="1" applyAlignment="1" applyProtection="1">
      <alignment horizontal="center"/>
      <protection locked="0"/>
    </xf>
    <xf numFmtId="165" fontId="8" fillId="2" borderId="1" xfId="1" applyNumberFormat="1" applyFont="1" applyFill="1" applyBorder="1" applyAlignment="1" applyProtection="1">
      <alignment horizontal="right"/>
      <protection locked="0"/>
    </xf>
    <xf numFmtId="0" fontId="9" fillId="0" borderId="1" xfId="0" applyFont="1" applyBorder="1" applyAlignment="1" applyProtection="1">
      <alignment vertical="center"/>
      <protection locked="0"/>
    </xf>
    <xf numFmtId="165" fontId="9" fillId="0" borderId="1" xfId="1" applyNumberFormat="1" applyFont="1" applyBorder="1" applyAlignment="1" applyProtection="1">
      <alignment horizontal="center" vertical="justify"/>
      <protection locked="0"/>
    </xf>
    <xf numFmtId="165" fontId="9" fillId="0" borderId="6" xfId="1" applyNumberFormat="1" applyFont="1" applyBorder="1" applyAlignment="1" applyProtection="1">
      <alignment horizontal="right" vertical="justify"/>
      <protection locked="0"/>
    </xf>
    <xf numFmtId="49" fontId="9" fillId="0" borderId="3" xfId="0" applyNumberFormat="1" applyFont="1" applyBorder="1" applyAlignment="1" applyProtection="1">
      <alignment horizontal="right" vertical="justify"/>
      <protection locked="0"/>
    </xf>
    <xf numFmtId="0" fontId="9" fillId="0" borderId="1" xfId="0" applyFont="1" applyBorder="1" applyAlignment="1" applyProtection="1">
      <alignment vertical="top"/>
      <protection locked="0"/>
    </xf>
    <xf numFmtId="165" fontId="9" fillId="0" borderId="1" xfId="1" applyNumberFormat="1" applyFont="1" applyBorder="1" applyAlignment="1" applyProtection="1">
      <alignment horizontal="center"/>
      <protection locked="0"/>
    </xf>
    <xf numFmtId="165" fontId="9" fillId="0" borderId="1" xfId="1" applyNumberFormat="1" applyFont="1" applyBorder="1" applyAlignment="1" applyProtection="1">
      <alignment horizontal="right"/>
      <protection locked="0"/>
    </xf>
    <xf numFmtId="0" fontId="9" fillId="2" borderId="1" xfId="0" applyFont="1" applyFill="1" applyBorder="1" applyAlignment="1" applyProtection="1">
      <alignment vertical="top"/>
      <protection locked="0"/>
    </xf>
    <xf numFmtId="165" fontId="9" fillId="2" borderId="1" xfId="1" applyNumberFormat="1" applyFont="1" applyFill="1" applyBorder="1" applyAlignment="1" applyProtection="1">
      <alignment horizontal="center"/>
      <protection locked="0"/>
    </xf>
    <xf numFmtId="165" fontId="9" fillId="2" borderId="1" xfId="1" applyNumberFormat="1" applyFont="1" applyFill="1" applyBorder="1" applyAlignment="1" applyProtection="1">
      <alignment horizontal="right"/>
      <protection locked="0"/>
    </xf>
    <xf numFmtId="165" fontId="9" fillId="2" borderId="6" xfId="1" applyNumberFormat="1" applyFont="1" applyFill="1" applyBorder="1" applyAlignment="1" applyProtection="1">
      <protection locked="0"/>
    </xf>
    <xf numFmtId="0" fontId="9" fillId="0" borderId="1" xfId="0" applyFont="1" applyBorder="1" applyAlignment="1" applyProtection="1">
      <alignment vertical="justify"/>
      <protection locked="0"/>
    </xf>
    <xf numFmtId="165" fontId="9" fillId="0" borderId="1" xfId="1" applyNumberFormat="1" applyFont="1" applyFill="1" applyBorder="1" applyAlignment="1" applyProtection="1">
      <alignment horizontal="center" vertical="justify"/>
      <protection locked="0"/>
    </xf>
    <xf numFmtId="0" fontId="9" fillId="0" borderId="1" xfId="0" applyFont="1" applyBorder="1" applyAlignment="1" applyProtection="1">
      <alignment vertical="top" wrapText="1"/>
      <protection locked="0"/>
    </xf>
    <xf numFmtId="165" fontId="8" fillId="9" borderId="6" xfId="1" applyNumberFormat="1" applyFont="1" applyFill="1" applyBorder="1" applyAlignment="1" applyProtection="1">
      <protection locked="0"/>
    </xf>
    <xf numFmtId="165" fontId="8" fillId="2" borderId="6" xfId="1" applyNumberFormat="1" applyFont="1" applyFill="1" applyBorder="1" applyAlignment="1" applyProtection="1">
      <protection locked="0"/>
    </xf>
    <xf numFmtId="0" fontId="9" fillId="2" borderId="3" xfId="0" applyFont="1" applyFill="1" applyBorder="1" applyAlignment="1" applyProtection="1">
      <alignment horizontal="center" vertical="center"/>
      <protection locked="0"/>
    </xf>
    <xf numFmtId="165" fontId="8" fillId="2" borderId="6" xfId="1" applyNumberFormat="1" applyFont="1" applyFill="1" applyBorder="1" applyAlignment="1" applyProtection="1">
      <alignment horizontal="center" vertical="center"/>
      <protection locked="0"/>
    </xf>
    <xf numFmtId="0" fontId="2" fillId="2" borderId="0" xfId="0" applyFont="1" applyFill="1" applyAlignment="1" applyProtection="1">
      <alignment vertical="center"/>
      <protection locked="0"/>
    </xf>
    <xf numFmtId="165" fontId="13" fillId="9" borderId="3" xfId="1" applyNumberFormat="1" applyFont="1" applyFill="1" applyBorder="1" applyAlignment="1" applyProtection="1">
      <alignment horizontal="left" vertical="center"/>
      <protection locked="0"/>
    </xf>
    <xf numFmtId="43" fontId="13" fillId="9" borderId="1" xfId="1" applyFont="1" applyFill="1" applyBorder="1" applyAlignment="1" applyProtection="1">
      <alignment horizontal="left" vertical="center"/>
      <protection locked="0"/>
    </xf>
    <xf numFmtId="165" fontId="13" fillId="9" borderId="1" xfId="1" applyNumberFormat="1" applyFont="1" applyFill="1" applyBorder="1" applyAlignment="1" applyProtection="1">
      <alignment horizontal="center" vertical="center"/>
      <protection locked="0"/>
    </xf>
    <xf numFmtId="165" fontId="13" fillId="9" borderId="6" xfId="1" applyNumberFormat="1" applyFont="1" applyFill="1" applyBorder="1" applyAlignment="1" applyProtection="1">
      <alignment horizontal="left" vertical="center"/>
      <protection locked="0"/>
    </xf>
    <xf numFmtId="0" fontId="13" fillId="5" borderId="3" xfId="0" applyFont="1" applyFill="1" applyBorder="1" applyAlignment="1" applyProtection="1">
      <alignment horizontal="center" vertical="center"/>
      <protection locked="0"/>
    </xf>
    <xf numFmtId="0" fontId="13" fillId="5" borderId="1" xfId="0" applyFont="1" applyFill="1" applyBorder="1" applyAlignment="1" applyProtection="1">
      <alignment vertical="justify" wrapText="1"/>
      <protection locked="0"/>
    </xf>
    <xf numFmtId="165" fontId="13" fillId="5" borderId="1" xfId="1" applyNumberFormat="1" applyFont="1" applyFill="1" applyBorder="1" applyAlignment="1" applyProtection="1">
      <alignment horizontal="center" vertical="center"/>
      <protection locked="0"/>
    </xf>
    <xf numFmtId="0" fontId="37" fillId="0" borderId="1" xfId="0" applyFont="1" applyBorder="1" applyAlignment="1" applyProtection="1">
      <alignment wrapText="1"/>
      <protection locked="0"/>
    </xf>
    <xf numFmtId="0" fontId="13" fillId="5" borderId="10" xfId="0" applyFont="1" applyFill="1" applyBorder="1" applyAlignment="1" applyProtection="1">
      <alignment horizontal="center" vertical="center"/>
      <protection locked="0"/>
    </xf>
    <xf numFmtId="0" fontId="13" fillId="5" borderId="11" xfId="0" applyFont="1" applyFill="1" applyBorder="1" applyAlignment="1" applyProtection="1">
      <alignment vertical="justify" wrapText="1"/>
      <protection locked="0"/>
    </xf>
    <xf numFmtId="165" fontId="13" fillId="5" borderId="11" xfId="1" applyNumberFormat="1" applyFont="1" applyFill="1" applyBorder="1" applyAlignment="1" applyProtection="1">
      <alignment horizontal="center" vertical="center"/>
      <protection locked="0"/>
    </xf>
    <xf numFmtId="165" fontId="13" fillId="5" borderId="12" xfId="1" applyNumberFormat="1"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165" fontId="11" fillId="0" borderId="0" xfId="1" applyNumberFormat="1" applyFont="1" applyAlignment="1" applyProtection="1">
      <alignment horizontal="center" vertical="center"/>
      <protection locked="0"/>
    </xf>
    <xf numFmtId="43" fontId="11" fillId="0" borderId="0" xfId="1" applyFont="1" applyAlignment="1" applyProtection="1">
      <alignment horizontal="center" vertical="center"/>
      <protection locked="0"/>
    </xf>
    <xf numFmtId="165" fontId="11" fillId="0" borderId="2" xfId="1" applyNumberFormat="1" applyFont="1" applyBorder="1" applyAlignment="1" applyProtection="1">
      <alignment horizontal="center" vertical="center"/>
      <protection locked="0"/>
    </xf>
    <xf numFmtId="0" fontId="11" fillId="0" borderId="0" xfId="7" applyFont="1" applyAlignment="1" applyProtection="1">
      <alignment vertical="center" wrapText="1"/>
      <protection locked="0"/>
    </xf>
    <xf numFmtId="0" fontId="11" fillId="0" borderId="13" xfId="7" applyFont="1" applyBorder="1" applyAlignment="1" applyProtection="1">
      <alignment vertical="center" wrapText="1"/>
      <protection locked="0"/>
    </xf>
    <xf numFmtId="4" fontId="8" fillId="0" borderId="0" xfId="0" applyNumberFormat="1" applyFont="1" applyAlignment="1" applyProtection="1">
      <alignment horizontal="left" vertical="center" wrapText="1"/>
      <protection locked="0"/>
    </xf>
    <xf numFmtId="4" fontId="8" fillId="0" borderId="13" xfId="0" applyNumberFormat="1" applyFont="1" applyBorder="1" applyAlignment="1" applyProtection="1">
      <alignment horizontal="left" vertical="center" wrapText="1"/>
      <protection locked="0"/>
    </xf>
    <xf numFmtId="0" fontId="11" fillId="0" borderId="0" xfId="7" applyFont="1" applyAlignment="1" applyProtection="1">
      <alignment horizontal="left" vertical="center" wrapText="1"/>
      <protection locked="0"/>
    </xf>
    <xf numFmtId="0" fontId="11" fillId="0" borderId="13" xfId="7" applyFont="1" applyBorder="1" applyAlignment="1" applyProtection="1">
      <alignment horizontal="left" vertical="center" wrapText="1"/>
      <protection locked="0"/>
    </xf>
    <xf numFmtId="0" fontId="8" fillId="6" borderId="7" xfId="0" applyFont="1" applyFill="1" applyBorder="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8" fillId="6" borderId="9"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165" fontId="11" fillId="2" borderId="1" xfId="1" applyNumberFormat="1" applyFont="1" applyFill="1" applyBorder="1" applyAlignment="1" applyProtection="1">
      <alignment horizontal="center" vertical="center" wrapText="1"/>
      <protection locked="0"/>
    </xf>
    <xf numFmtId="165" fontId="11" fillId="2" borderId="6" xfId="1" applyNumberFormat="1" applyFont="1" applyFill="1" applyBorder="1" applyAlignment="1" applyProtection="1">
      <alignment horizontal="center" vertical="center" wrapText="1"/>
      <protection locked="0"/>
    </xf>
    <xf numFmtId="43" fontId="13" fillId="0" borderId="1" xfId="1" applyFont="1" applyBorder="1" applyAlignment="1" applyProtection="1">
      <alignment horizontal="center" vertical="center"/>
    </xf>
    <xf numFmtId="43" fontId="11" fillId="0" borderId="1" xfId="1" applyFont="1" applyFill="1" applyBorder="1" applyAlignment="1" applyProtection="1">
      <alignment horizontal="center" vertical="center"/>
    </xf>
    <xf numFmtId="43" fontId="11" fillId="0" borderId="1" xfId="1" applyFont="1" applyBorder="1" applyAlignment="1" applyProtection="1">
      <alignment horizontal="right" vertical="center"/>
    </xf>
    <xf numFmtId="165" fontId="11" fillId="0" borderId="1" xfId="1" applyNumberFormat="1" applyFont="1" applyFill="1" applyBorder="1" applyAlignment="1" applyProtection="1">
      <alignment horizontal="right" vertical="center"/>
    </xf>
    <xf numFmtId="165" fontId="11" fillId="2" borderId="1" xfId="1" applyNumberFormat="1" applyFont="1" applyFill="1" applyBorder="1" applyAlignment="1" applyProtection="1">
      <alignment horizontal="center" vertical="center"/>
    </xf>
    <xf numFmtId="43" fontId="11" fillId="3" borderId="1" xfId="1"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43" fontId="11" fillId="9" borderId="1" xfId="1" applyFont="1" applyFill="1" applyBorder="1" applyAlignment="1" applyProtection="1">
      <alignment horizontal="center" vertical="center"/>
    </xf>
    <xf numFmtId="43" fontId="11" fillId="2" borderId="1" xfId="1" applyFont="1" applyFill="1" applyBorder="1" applyAlignment="1" applyProtection="1">
      <alignment horizontal="right" vertical="center"/>
    </xf>
    <xf numFmtId="43" fontId="13" fillId="8" borderId="1" xfId="1" applyFont="1" applyFill="1" applyBorder="1" applyAlignment="1" applyProtection="1">
      <alignment horizontal="center" vertical="center"/>
    </xf>
    <xf numFmtId="43" fontId="13" fillId="2" borderId="1" xfId="1" applyFont="1" applyFill="1" applyBorder="1" applyAlignment="1" applyProtection="1">
      <alignment horizontal="center" vertical="center"/>
    </xf>
    <xf numFmtId="43" fontId="11" fillId="8" borderId="1" xfId="1" applyFont="1" applyFill="1" applyBorder="1" applyAlignment="1" applyProtection="1">
      <alignment horizontal="center" vertical="center"/>
    </xf>
    <xf numFmtId="43" fontId="11" fillId="2" borderId="1" xfId="1" applyFont="1" applyFill="1" applyBorder="1" applyAlignment="1" applyProtection="1">
      <alignment horizontal="center" vertical="center"/>
    </xf>
    <xf numFmtId="43" fontId="13" fillId="9" borderId="1" xfId="1" applyFont="1" applyFill="1" applyBorder="1" applyAlignment="1" applyProtection="1">
      <alignment horizontal="center" vertical="center"/>
    </xf>
    <xf numFmtId="43" fontId="13" fillId="3" borderId="1" xfId="1" applyFont="1" applyFill="1" applyBorder="1" applyAlignment="1" applyProtection="1">
      <alignment horizontal="center" vertical="center"/>
    </xf>
    <xf numFmtId="43" fontId="16" fillId="0" borderId="1" xfId="1" applyFont="1" applyFill="1" applyBorder="1" applyAlignment="1" applyProtection="1">
      <alignment horizontal="center" vertical="center"/>
    </xf>
    <xf numFmtId="43" fontId="11" fillId="0" borderId="1" xfId="1" applyFont="1" applyBorder="1" applyAlignment="1" applyProtection="1">
      <alignment horizontal="center" vertical="center"/>
    </xf>
    <xf numFmtId="43" fontId="16" fillId="0" borderId="1" xfId="1" applyFont="1" applyBorder="1" applyAlignment="1" applyProtection="1">
      <alignment horizontal="center" vertical="center"/>
    </xf>
    <xf numFmtId="43" fontId="11" fillId="0" borderId="1" xfId="1" applyFont="1" applyFill="1" applyBorder="1" applyAlignment="1" applyProtection="1">
      <alignment horizontal="right" vertical="center"/>
    </xf>
    <xf numFmtId="3" fontId="9" fillId="2" borderId="1" xfId="0" applyNumberFormat="1" applyFont="1" applyFill="1" applyBorder="1" applyAlignment="1" applyProtection="1">
      <alignment horizontal="right" vertical="center"/>
    </xf>
    <xf numFmtId="3" fontId="9" fillId="0" borderId="1" xfId="0" applyNumberFormat="1" applyFont="1" applyBorder="1" applyAlignment="1" applyProtection="1">
      <alignment horizontal="right" vertical="center"/>
    </xf>
    <xf numFmtId="43" fontId="11" fillId="2" borderId="1" xfId="1" applyFont="1" applyFill="1" applyBorder="1" applyAlignment="1" applyProtection="1">
      <alignment horizontal="right" vertical="center" wrapText="1"/>
    </xf>
    <xf numFmtId="43" fontId="13" fillId="4" borderId="1" xfId="1" applyFont="1" applyFill="1" applyBorder="1" applyAlignment="1" applyProtection="1">
      <alignment horizontal="center" vertical="center"/>
    </xf>
    <xf numFmtId="43" fontId="13" fillId="5" borderId="1" xfId="1" applyFont="1" applyFill="1" applyBorder="1" applyAlignment="1" applyProtection="1">
      <alignment horizontal="center" vertical="center"/>
    </xf>
    <xf numFmtId="43" fontId="13" fillId="9" borderId="1" xfId="1" applyFont="1" applyFill="1" applyBorder="1" applyAlignment="1" applyProtection="1">
      <alignment horizontal="right" vertical="center"/>
    </xf>
    <xf numFmtId="43" fontId="13" fillId="2" borderId="1" xfId="1" applyFont="1" applyFill="1" applyBorder="1" applyAlignment="1" applyProtection="1">
      <alignment horizontal="right" vertical="center"/>
    </xf>
    <xf numFmtId="0" fontId="12" fillId="0" borderId="1" xfId="0" applyFont="1" applyBorder="1" applyAlignment="1" applyProtection="1">
      <alignment horizontal="right" vertical="center"/>
    </xf>
    <xf numFmtId="0" fontId="12" fillId="2" borderId="1" xfId="0" applyFont="1" applyFill="1" applyBorder="1" applyAlignment="1" applyProtection="1">
      <alignment horizontal="right" vertical="center"/>
    </xf>
    <xf numFmtId="0" fontId="9" fillId="0" borderId="1" xfId="11" applyFont="1" applyBorder="1" applyAlignment="1" applyProtection="1">
      <alignment horizontal="right" vertical="center" wrapText="1"/>
    </xf>
    <xf numFmtId="0" fontId="33" fillId="2" borderId="1" xfId="11" applyFont="1" applyFill="1" applyBorder="1" applyAlignment="1" applyProtection="1">
      <alignment vertical="center" wrapText="1"/>
    </xf>
    <xf numFmtId="0" fontId="9" fillId="2" borderId="1" xfId="11" applyFont="1" applyFill="1" applyBorder="1" applyAlignment="1" applyProtection="1">
      <alignment horizontal="right" vertical="center" wrapText="1"/>
    </xf>
    <xf numFmtId="2" fontId="9" fillId="0" borderId="1" xfId="11" applyNumberFormat="1" applyFont="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8" fillId="2" borderId="1" xfId="12" applyFont="1" applyFill="1" applyBorder="1" applyAlignment="1" applyProtection="1">
      <alignment horizontal="right" vertical="center" wrapText="1"/>
    </xf>
    <xf numFmtId="1" fontId="12" fillId="0" borderId="1" xfId="0" applyNumberFormat="1" applyFont="1" applyBorder="1" applyAlignment="1" applyProtection="1">
      <alignment horizontal="right" vertical="center"/>
    </xf>
    <xf numFmtId="2" fontId="9" fillId="0" borderId="1" xfId="12" applyNumberFormat="1" applyFont="1" applyBorder="1" applyAlignment="1" applyProtection="1">
      <alignment horizontal="right" vertical="center" wrapText="1"/>
    </xf>
    <xf numFmtId="0" fontId="8" fillId="2" borderId="1" xfId="12" applyFont="1" applyFill="1" applyBorder="1" applyAlignment="1" applyProtection="1">
      <alignment horizontal="right" vertical="center"/>
    </xf>
    <xf numFmtId="1" fontId="9" fillId="0" borderId="1" xfId="12" applyNumberFormat="1" applyFont="1" applyBorder="1" applyAlignment="1" applyProtection="1">
      <alignment horizontal="right" vertical="center" wrapText="1"/>
    </xf>
    <xf numFmtId="1" fontId="8" fillId="2" borderId="1" xfId="12" applyNumberFormat="1" applyFont="1" applyFill="1" applyBorder="1" applyAlignment="1" applyProtection="1">
      <alignment horizontal="right" vertical="center"/>
    </xf>
    <xf numFmtId="166" fontId="9" fillId="2" borderId="1" xfId="1" applyNumberFormat="1" applyFont="1" applyFill="1" applyBorder="1" applyAlignment="1" applyProtection="1">
      <alignment horizontal="right" vertical="center"/>
    </xf>
    <xf numFmtId="0" fontId="9" fillId="2" borderId="1" xfId="12" applyFont="1" applyFill="1" applyBorder="1" applyAlignment="1" applyProtection="1">
      <alignment horizontal="right" vertical="center"/>
    </xf>
    <xf numFmtId="0" fontId="9" fillId="0" borderId="1" xfId="12" applyFont="1" applyBorder="1" applyAlignment="1" applyProtection="1">
      <alignment horizontal="right" vertical="center" wrapText="1"/>
    </xf>
    <xf numFmtId="167" fontId="9" fillId="7" borderId="1" xfId="0" applyNumberFormat="1" applyFont="1" applyFill="1" applyBorder="1" applyAlignment="1" applyProtection="1">
      <alignment horizontal="right" vertical="center"/>
    </xf>
    <xf numFmtId="0" fontId="9" fillId="2" borderId="1" xfId="0" applyFont="1" applyFill="1" applyBorder="1" applyAlignment="1" applyProtection="1">
      <alignment horizontal="right" vertical="center"/>
    </xf>
    <xf numFmtId="0" fontId="9" fillId="7" borderId="1" xfId="0" applyFont="1" applyFill="1" applyBorder="1" applyAlignment="1" applyProtection="1">
      <alignment horizontal="right" vertical="center"/>
    </xf>
    <xf numFmtId="166" fontId="9" fillId="0" borderId="1" xfId="0" applyNumberFormat="1" applyFont="1" applyBorder="1" applyAlignment="1" applyProtection="1">
      <alignment horizontal="right" vertical="center"/>
    </xf>
    <xf numFmtId="1" fontId="9" fillId="2" borderId="1" xfId="12" applyNumberFormat="1" applyFont="1" applyFill="1" applyBorder="1" applyAlignment="1" applyProtection="1">
      <alignment horizontal="right" vertical="center" wrapText="1"/>
    </xf>
    <xf numFmtId="1" fontId="9" fillId="2" borderId="1" xfId="12" applyNumberFormat="1" applyFont="1" applyFill="1" applyBorder="1" applyAlignment="1" applyProtection="1">
      <alignment horizontal="center" vertical="center" wrapText="1"/>
    </xf>
    <xf numFmtId="0" fontId="8" fillId="9" borderId="1" xfId="0" applyFont="1" applyFill="1" applyBorder="1" applyAlignment="1" applyProtection="1">
      <alignment horizontal="center" vertical="center"/>
    </xf>
    <xf numFmtId="0" fontId="8" fillId="8" borderId="1" xfId="0" applyFont="1" applyFill="1" applyBorder="1" applyAlignment="1" applyProtection="1">
      <alignment horizontal="center" vertical="center"/>
    </xf>
    <xf numFmtId="4" fontId="9" fillId="0" borderId="1" xfId="0" applyNumberFormat="1" applyFont="1" applyBorder="1" applyAlignment="1" applyProtection="1">
      <alignment horizontal="center" vertical="center"/>
    </xf>
    <xf numFmtId="0" fontId="13" fillId="9" borderId="1" xfId="0" applyFont="1" applyFill="1" applyBorder="1" applyAlignment="1" applyProtection="1">
      <alignment horizontal="center" vertical="center" wrapText="1"/>
    </xf>
    <xf numFmtId="0" fontId="13" fillId="9" borderId="1" xfId="0" applyFont="1" applyFill="1" applyBorder="1" applyAlignment="1" applyProtection="1">
      <alignment horizontal="right" vertical="center" wrapText="1"/>
    </xf>
    <xf numFmtId="43" fontId="9" fillId="0" borderId="1" xfId="1" applyFont="1" applyFill="1" applyBorder="1" applyAlignment="1" applyProtection="1">
      <alignment horizontal="right" vertical="center"/>
    </xf>
    <xf numFmtId="0" fontId="9" fillId="9" borderId="1" xfId="0" applyFont="1" applyFill="1" applyBorder="1" applyAlignment="1" applyProtection="1">
      <alignment horizontal="center" vertical="center" wrapText="1"/>
    </xf>
    <xf numFmtId="0" fontId="9" fillId="0" borderId="1" xfId="0" applyFont="1" applyBorder="1" applyAlignment="1" applyProtection="1">
      <alignment horizontal="right" vertical="center" wrapText="1"/>
    </xf>
    <xf numFmtId="0" fontId="9" fillId="0" borderId="1" xfId="0" applyFont="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8" fillId="9" borderId="1" xfId="0" applyFont="1" applyFill="1" applyBorder="1" applyAlignment="1" applyProtection="1">
      <alignment horizontal="left" vertical="justify"/>
    </xf>
    <xf numFmtId="3" fontId="9" fillId="2" borderId="1" xfId="0" applyNumberFormat="1" applyFont="1" applyFill="1" applyBorder="1" applyAlignment="1" applyProtection="1">
      <alignment horizontal="center" vertical="center"/>
    </xf>
    <xf numFmtId="3" fontId="9" fillId="5" borderId="1" xfId="0" applyNumberFormat="1" applyFont="1" applyFill="1" applyBorder="1" applyAlignment="1" applyProtection="1">
      <alignment horizontal="center" vertical="center"/>
    </xf>
    <xf numFmtId="3" fontId="9" fillId="9" borderId="1" xfId="0" applyNumberFormat="1" applyFont="1" applyFill="1" applyBorder="1" applyAlignment="1" applyProtection="1">
      <alignment horizontal="center" vertical="center"/>
    </xf>
    <xf numFmtId="4" fontId="8" fillId="9" borderId="1" xfId="0" applyNumberFormat="1" applyFont="1" applyFill="1" applyBorder="1" applyAlignment="1" applyProtection="1">
      <alignment horizontal="center" vertical="center"/>
    </xf>
    <xf numFmtId="4" fontId="8" fillId="2" borderId="1" xfId="0" applyNumberFormat="1" applyFont="1" applyFill="1" applyBorder="1" applyAlignment="1" applyProtection="1">
      <alignment horizontal="center" vertical="center"/>
    </xf>
    <xf numFmtId="3" fontId="9" fillId="0" borderId="1" xfId="0" applyNumberFormat="1" applyFont="1" applyBorder="1" applyAlignment="1" applyProtection="1">
      <alignment horizontal="center" vertical="center"/>
    </xf>
    <xf numFmtId="4" fontId="9" fillId="0" borderId="1" xfId="0" applyNumberFormat="1" applyFont="1" applyBorder="1" applyAlignment="1" applyProtection="1">
      <alignment horizontal="right" vertical="center"/>
    </xf>
    <xf numFmtId="4" fontId="9" fillId="2" borderId="1" xfId="0" applyNumberFormat="1" applyFont="1" applyFill="1" applyBorder="1" applyAlignment="1" applyProtection="1">
      <alignment horizontal="right" vertical="center"/>
    </xf>
    <xf numFmtId="43" fontId="8" fillId="2" borderId="1" xfId="1" applyFont="1" applyFill="1" applyBorder="1" applyAlignment="1" applyProtection="1">
      <alignment horizontal="center" vertical="center"/>
    </xf>
    <xf numFmtId="43" fontId="11" fillId="2" borderId="1" xfId="1" applyFont="1" applyFill="1" applyBorder="1" applyAlignment="1" applyProtection="1">
      <alignment horizontal="center" vertical="center" wrapText="1"/>
    </xf>
    <xf numFmtId="165" fontId="13" fillId="9" borderId="1" xfId="1" applyNumberFormat="1" applyFont="1" applyFill="1" applyBorder="1" applyAlignment="1" applyProtection="1">
      <alignment horizontal="center" vertical="center"/>
    </xf>
    <xf numFmtId="3" fontId="13" fillId="5" borderId="1" xfId="0" applyNumberFormat="1" applyFont="1" applyFill="1" applyBorder="1" applyAlignment="1" applyProtection="1">
      <alignment horizontal="center" vertical="center"/>
    </xf>
    <xf numFmtId="3" fontId="13" fillId="5" borderId="11" xfId="0" applyNumberFormat="1" applyFont="1" applyFill="1" applyBorder="1" applyAlignment="1" applyProtection="1">
      <alignment horizontal="center" vertical="center"/>
    </xf>
    <xf numFmtId="0" fontId="31" fillId="0" borderId="1" xfId="11" applyFont="1" applyBorder="1" applyAlignment="1" applyProtection="1">
      <alignment vertical="center" wrapText="1"/>
      <protection locked="0"/>
    </xf>
    <xf numFmtId="0" fontId="31" fillId="0" borderId="1" xfId="11" applyFont="1" applyBorder="1" applyAlignment="1" applyProtection="1">
      <alignment horizontal="center" vertical="center" wrapText="1"/>
      <protection locked="0"/>
    </xf>
    <xf numFmtId="0" fontId="33" fillId="0" borderId="1" xfId="11" applyFont="1" applyBorder="1" applyAlignment="1" applyProtection="1">
      <alignment vertical="center" wrapText="1"/>
      <protection locked="0"/>
    </xf>
    <xf numFmtId="0" fontId="33" fillId="2" borderId="1" xfId="11" applyFont="1" applyFill="1" applyBorder="1" applyAlignment="1" applyProtection="1">
      <alignment vertical="center" wrapText="1"/>
      <protection locked="0"/>
    </xf>
    <xf numFmtId="0" fontId="31" fillId="2" borderId="1" xfId="11" applyFont="1" applyFill="1" applyBorder="1" applyAlignment="1" applyProtection="1">
      <alignment horizontal="center" vertical="center" wrapText="1"/>
      <protection locked="0"/>
    </xf>
    <xf numFmtId="0" fontId="33" fillId="2" borderId="14" xfId="11" applyFont="1" applyFill="1" applyBorder="1" applyAlignment="1" applyProtection="1">
      <alignment vertical="center" wrapText="1"/>
      <protection locked="0"/>
    </xf>
    <xf numFmtId="0" fontId="33" fillId="2" borderId="1" xfId="12" applyFont="1" applyFill="1" applyBorder="1" applyAlignment="1" applyProtection="1">
      <alignment wrapText="1"/>
      <protection locked="0"/>
    </xf>
    <xf numFmtId="0" fontId="33" fillId="2" borderId="1" xfId="12" applyFont="1" applyFill="1" applyBorder="1" applyAlignment="1" applyProtection="1">
      <alignment horizontal="center" vertical="center" wrapText="1"/>
      <protection locked="0"/>
    </xf>
    <xf numFmtId="2" fontId="31" fillId="0" borderId="1" xfId="12" applyNumberFormat="1" applyFont="1" applyBorder="1" applyAlignment="1" applyProtection="1">
      <alignment horizontal="left" vertical="center" wrapText="1"/>
      <protection locked="0"/>
    </xf>
    <xf numFmtId="0" fontId="31" fillId="0" borderId="1" xfId="12" applyFont="1" applyBorder="1" applyAlignment="1" applyProtection="1">
      <alignment horizontal="center" vertical="center" wrapText="1"/>
      <protection locked="0"/>
    </xf>
    <xf numFmtId="2" fontId="33" fillId="0" borderId="1" xfId="12" applyNumberFormat="1" applyFont="1" applyBorder="1" applyAlignment="1" applyProtection="1">
      <alignment horizontal="left" vertical="center" wrapText="1"/>
      <protection locked="0"/>
    </xf>
    <xf numFmtId="0" fontId="33" fillId="2" borderId="1" xfId="12" applyFont="1" applyFill="1" applyBorder="1" applyAlignment="1" applyProtection="1">
      <alignment horizontal="center" vertical="center"/>
      <protection locked="0"/>
    </xf>
    <xf numFmtId="0" fontId="33" fillId="2" borderId="1" xfId="12" applyFont="1" applyFill="1" applyBorder="1" applyAlignment="1" applyProtection="1">
      <alignment vertical="center" wrapText="1"/>
      <protection locked="0"/>
    </xf>
    <xf numFmtId="0" fontId="31" fillId="0" borderId="1" xfId="12" applyFont="1" applyBorder="1" applyAlignment="1" applyProtection="1">
      <alignment wrapText="1"/>
      <protection locked="0"/>
    </xf>
    <xf numFmtId="0" fontId="31" fillId="2" borderId="1" xfId="12" applyFont="1" applyFill="1" applyBorder="1" applyAlignment="1" applyProtection="1">
      <alignment horizontal="center" vertical="center"/>
      <protection locked="0"/>
    </xf>
    <xf numFmtId="0" fontId="31" fillId="0" borderId="1" xfId="12" applyFont="1" applyBorder="1" applyAlignment="1" applyProtection="1">
      <alignment vertical="center" wrapText="1"/>
      <protection locked="0"/>
    </xf>
    <xf numFmtId="0" fontId="31" fillId="2" borderId="1" xfId="12" applyFont="1" applyFill="1" applyBorder="1" applyAlignment="1" applyProtection="1">
      <alignment vertical="center" wrapText="1"/>
      <protection locked="0"/>
    </xf>
    <xf numFmtId="0" fontId="31" fillId="2" borderId="1" xfId="12" applyFont="1" applyFill="1" applyBorder="1" applyAlignment="1" applyProtection="1">
      <alignment horizontal="center" vertical="center" wrapText="1"/>
      <protection locked="0"/>
    </xf>
  </cellXfs>
  <cellStyles count="13">
    <cellStyle name="Comma" xfId="1" builtinId="3"/>
    <cellStyle name="Comma 2" xfId="2" xr:uid="{00000000-0005-0000-0000-000001000000}"/>
    <cellStyle name="Comma 3" xfId="4" xr:uid="{00000000-0005-0000-0000-000002000000}"/>
    <cellStyle name="Comma 4" xfId="5" xr:uid="{00000000-0005-0000-0000-000003000000}"/>
    <cellStyle name="Normal" xfId="0" builtinId="0"/>
    <cellStyle name="Normal 2" xfId="6" xr:uid="{00000000-0005-0000-0000-000005000000}"/>
    <cellStyle name="Normal 3" xfId="3" xr:uid="{00000000-0005-0000-0000-000006000000}"/>
    <cellStyle name="Normal 4" xfId="11" xr:uid="{00000000-0005-0000-0000-000007000000}"/>
    <cellStyle name="Normal 4 2" xfId="8" xr:uid="{00000000-0005-0000-0000-000008000000}"/>
    <cellStyle name="Normal 5" xfId="9" xr:uid="{00000000-0005-0000-0000-000009000000}"/>
    <cellStyle name="Normal 6" xfId="12" xr:uid="{00000000-0005-0000-0000-00000A000000}"/>
    <cellStyle name="Normal 7" xfId="10" xr:uid="{00000000-0005-0000-0000-00000B000000}"/>
    <cellStyle name="常规 65 2"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wnloads\BOQ_RES25M3%20(1).xlsx" TargetMode="External"/><Relationship Id="rId1" Type="http://schemas.openxmlformats.org/officeDocument/2006/relationships/externalLinkPath" Target="BOQ_RES25M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69">
          <cell r="B169" t="str">
            <v>Landscaping:</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569"/>
  <sheetViews>
    <sheetView tabSelected="1" topLeftCell="A43" zoomScaleNormal="100" zoomScaleSheetLayoutView="83" workbookViewId="0">
      <selection activeCell="E69" sqref="E69"/>
    </sheetView>
  </sheetViews>
  <sheetFormatPr defaultColWidth="8.85546875" defaultRowHeight="15" x14ac:dyDescent="0.25"/>
  <cols>
    <col min="1" max="1" width="10.28515625" style="12" customWidth="1"/>
    <col min="2" max="2" width="91.85546875" style="273" customWidth="1"/>
    <col min="3" max="3" width="26.42578125" style="273" customWidth="1"/>
    <col min="4" max="4" width="8.42578125" style="274" bestFit="1" customWidth="1"/>
    <col min="5" max="5" width="14.5703125" style="275" customWidth="1"/>
    <col min="6" max="6" width="16.140625" style="274" bestFit="1" customWidth="1"/>
    <col min="7" max="7" width="20.5703125" style="276" customWidth="1"/>
    <col min="8" max="16384" width="8.85546875" style="7"/>
  </cols>
  <sheetData>
    <row r="1" spans="1:7" x14ac:dyDescent="0.25">
      <c r="A1" s="1"/>
      <c r="B1" s="2" t="s">
        <v>0</v>
      </c>
      <c r="C1" s="2"/>
      <c r="D1" s="3"/>
      <c r="E1" s="4"/>
      <c r="F1" s="5"/>
      <c r="G1" s="6"/>
    </row>
    <row r="2" spans="1:7" x14ac:dyDescent="0.25">
      <c r="A2" s="8"/>
      <c r="B2" s="9"/>
      <c r="C2" s="9"/>
      <c r="D2" s="3"/>
      <c r="E2" s="4"/>
      <c r="F2" s="5"/>
      <c r="G2" s="6"/>
    </row>
    <row r="3" spans="1:7" x14ac:dyDescent="0.25">
      <c r="A3" s="8"/>
      <c r="B3" s="9" t="s">
        <v>1</v>
      </c>
      <c r="C3" s="9"/>
      <c r="D3" s="3"/>
      <c r="E3" s="4"/>
      <c r="F3" s="5"/>
      <c r="G3" s="6"/>
    </row>
    <row r="4" spans="1:7" x14ac:dyDescent="0.25">
      <c r="A4" s="8"/>
      <c r="B4" s="9"/>
      <c r="C4" s="9"/>
      <c r="D4" s="3"/>
      <c r="E4" s="4"/>
      <c r="F4" s="5"/>
      <c r="G4" s="6"/>
    </row>
    <row r="5" spans="1:7" x14ac:dyDescent="0.25">
      <c r="A5" s="8">
        <v>1</v>
      </c>
      <c r="B5" s="10" t="s">
        <v>2</v>
      </c>
      <c r="C5" s="10"/>
      <c r="D5" s="3"/>
      <c r="E5" s="4"/>
      <c r="F5" s="5"/>
      <c r="G5" s="6"/>
    </row>
    <row r="6" spans="1:7" x14ac:dyDescent="0.25">
      <c r="A6" s="8"/>
      <c r="B6" s="10"/>
      <c r="C6" s="10"/>
      <c r="D6" s="11"/>
      <c r="E6" s="12"/>
      <c r="F6" s="7"/>
      <c r="G6" s="13"/>
    </row>
    <row r="7" spans="1:7" x14ac:dyDescent="0.25">
      <c r="A7" s="8">
        <v>2</v>
      </c>
      <c r="B7" s="14" t="s">
        <v>3</v>
      </c>
      <c r="C7" s="14"/>
      <c r="D7" s="11"/>
      <c r="E7" s="12"/>
      <c r="F7" s="7"/>
      <c r="G7" s="13"/>
    </row>
    <row r="8" spans="1:7" x14ac:dyDescent="0.25">
      <c r="A8" s="8"/>
      <c r="B8" s="15"/>
      <c r="C8" s="15"/>
      <c r="D8" s="11"/>
      <c r="E8" s="12"/>
      <c r="F8" s="7"/>
      <c r="G8" s="13"/>
    </row>
    <row r="9" spans="1:7" x14ac:dyDescent="0.25">
      <c r="A9" s="8">
        <v>3</v>
      </c>
      <c r="B9" s="9" t="s">
        <v>4</v>
      </c>
      <c r="C9" s="9"/>
      <c r="D9" s="11"/>
      <c r="E9" s="12"/>
      <c r="F9" s="7"/>
      <c r="G9" s="13"/>
    </row>
    <row r="10" spans="1:7" x14ac:dyDescent="0.25">
      <c r="A10" s="8"/>
      <c r="B10" s="9"/>
      <c r="C10" s="9"/>
      <c r="D10" s="3"/>
      <c r="E10" s="4"/>
      <c r="F10" s="5"/>
      <c r="G10" s="6"/>
    </row>
    <row r="11" spans="1:7" x14ac:dyDescent="0.25">
      <c r="A11" s="8">
        <v>4</v>
      </c>
      <c r="B11" s="9" t="s">
        <v>5</v>
      </c>
      <c r="C11" s="9"/>
      <c r="D11" s="3"/>
      <c r="E11" s="4"/>
      <c r="F11" s="5"/>
      <c r="G11" s="6"/>
    </row>
    <row r="12" spans="1:7" x14ac:dyDescent="0.25">
      <c r="A12" s="8"/>
      <c r="B12" s="9"/>
      <c r="C12" s="9"/>
      <c r="D12" s="3"/>
      <c r="E12" s="4"/>
      <c r="F12" s="5"/>
      <c r="G12" s="6"/>
    </row>
    <row r="13" spans="1:7" ht="25.5" customHeight="1" x14ac:dyDescent="0.25">
      <c r="A13" s="8"/>
      <c r="B13" s="281" t="s">
        <v>6</v>
      </c>
      <c r="C13" s="281"/>
      <c r="D13" s="281"/>
      <c r="E13" s="281"/>
      <c r="F13" s="281"/>
      <c r="G13" s="282"/>
    </row>
    <row r="14" spans="1:7" ht="57" customHeight="1" x14ac:dyDescent="0.25">
      <c r="A14" s="8"/>
      <c r="B14" s="281" t="s">
        <v>7</v>
      </c>
      <c r="C14" s="281"/>
      <c r="D14" s="281"/>
      <c r="E14" s="281"/>
      <c r="F14" s="281"/>
      <c r="G14" s="282"/>
    </row>
    <row r="15" spans="1:7" ht="39.75" customHeight="1" x14ac:dyDescent="0.25">
      <c r="A15" s="8"/>
      <c r="B15" s="281" t="s">
        <v>8</v>
      </c>
      <c r="C15" s="281"/>
      <c r="D15" s="281"/>
      <c r="E15" s="281"/>
      <c r="F15" s="281"/>
      <c r="G15" s="282"/>
    </row>
    <row r="16" spans="1:7" x14ac:dyDescent="0.25">
      <c r="A16" s="8"/>
      <c r="B16" s="281"/>
      <c r="C16" s="281"/>
      <c r="D16" s="281"/>
      <c r="E16" s="281"/>
      <c r="F16" s="281"/>
      <c r="G16" s="282"/>
    </row>
    <row r="17" spans="1:7" ht="33" customHeight="1" x14ac:dyDescent="0.25">
      <c r="A17" s="8"/>
      <c r="B17" s="281" t="s">
        <v>9</v>
      </c>
      <c r="C17" s="281"/>
      <c r="D17" s="281"/>
      <c r="E17" s="281"/>
      <c r="F17" s="281"/>
      <c r="G17" s="282"/>
    </row>
    <row r="18" spans="1:7" x14ac:dyDescent="0.25">
      <c r="A18" s="8"/>
      <c r="B18" s="16"/>
      <c r="C18" s="16"/>
      <c r="D18" s="17"/>
      <c r="E18" s="4"/>
      <c r="F18" s="18"/>
      <c r="G18" s="19"/>
    </row>
    <row r="19" spans="1:7" x14ac:dyDescent="0.25">
      <c r="A19" s="8"/>
      <c r="B19" s="20" t="s">
        <v>10</v>
      </c>
      <c r="C19" s="20"/>
      <c r="D19" s="17"/>
      <c r="E19" s="4"/>
      <c r="F19" s="18"/>
      <c r="G19" s="19"/>
    </row>
    <row r="20" spans="1:7" x14ac:dyDescent="0.25">
      <c r="A20" s="8"/>
      <c r="B20" s="20" t="s">
        <v>11</v>
      </c>
      <c r="C20" s="20"/>
      <c r="D20" s="17"/>
      <c r="E20" s="4"/>
      <c r="F20" s="18"/>
      <c r="G20" s="19"/>
    </row>
    <row r="21" spans="1:7" x14ac:dyDescent="0.25">
      <c r="A21" s="8"/>
      <c r="B21" s="20" t="s">
        <v>12</v>
      </c>
      <c r="C21" s="20"/>
      <c r="D21" s="17"/>
      <c r="E21" s="4"/>
      <c r="F21" s="18"/>
      <c r="G21" s="19"/>
    </row>
    <row r="22" spans="1:7" x14ac:dyDescent="0.25">
      <c r="A22" s="8"/>
      <c r="B22" s="16"/>
      <c r="C22" s="16"/>
      <c r="D22" s="17"/>
      <c r="E22" s="4"/>
      <c r="F22" s="21"/>
      <c r="G22" s="22"/>
    </row>
    <row r="23" spans="1:7" x14ac:dyDescent="0.2">
      <c r="A23" s="8"/>
      <c r="B23" s="23" t="s">
        <v>13</v>
      </c>
      <c r="C23" s="23"/>
      <c r="D23" s="17"/>
      <c r="E23" s="4"/>
      <c r="F23" s="21"/>
      <c r="G23" s="22"/>
    </row>
    <row r="24" spans="1:7" x14ac:dyDescent="0.25">
      <c r="A24" s="8"/>
      <c r="B24" s="16"/>
      <c r="C24" s="16"/>
      <c r="D24" s="17"/>
      <c r="E24" s="4"/>
      <c r="F24" s="21"/>
      <c r="G24" s="22"/>
    </row>
    <row r="25" spans="1:7" x14ac:dyDescent="0.25">
      <c r="A25" s="8"/>
      <c r="B25" s="24" t="s">
        <v>14</v>
      </c>
      <c r="C25" s="24"/>
      <c r="D25" s="17"/>
      <c r="E25" s="4"/>
      <c r="F25" s="21"/>
      <c r="G25" s="22"/>
    </row>
    <row r="26" spans="1:7" x14ac:dyDescent="0.25">
      <c r="A26" s="8"/>
      <c r="B26" s="16"/>
      <c r="C26" s="16"/>
      <c r="D26" s="17"/>
      <c r="E26" s="4"/>
      <c r="F26" s="21"/>
      <c r="G26" s="22"/>
    </row>
    <row r="27" spans="1:7" ht="54" customHeight="1" x14ac:dyDescent="0.25">
      <c r="A27" s="8"/>
      <c r="B27" s="277" t="s">
        <v>15</v>
      </c>
      <c r="C27" s="277"/>
      <c r="D27" s="277"/>
      <c r="E27" s="277"/>
      <c r="F27" s="277"/>
      <c r="G27" s="278"/>
    </row>
    <row r="28" spans="1:7" ht="41.25" customHeight="1" x14ac:dyDescent="0.25">
      <c r="A28" s="8"/>
      <c r="B28" s="277" t="s">
        <v>16</v>
      </c>
      <c r="C28" s="277"/>
      <c r="D28" s="277"/>
      <c r="E28" s="277"/>
      <c r="F28" s="277"/>
      <c r="G28" s="278"/>
    </row>
    <row r="29" spans="1:7" ht="16.5" customHeight="1" x14ac:dyDescent="0.25">
      <c r="A29" s="8"/>
      <c r="B29" s="277" t="s">
        <v>17</v>
      </c>
      <c r="C29" s="277"/>
      <c r="D29" s="277"/>
      <c r="E29" s="277"/>
      <c r="F29" s="277"/>
      <c r="G29" s="278"/>
    </row>
    <row r="30" spans="1:7" ht="25.5" customHeight="1" x14ac:dyDescent="0.25">
      <c r="A30" s="8"/>
      <c r="B30" s="277" t="s">
        <v>18</v>
      </c>
      <c r="C30" s="277"/>
      <c r="D30" s="277"/>
      <c r="E30" s="277"/>
      <c r="F30" s="277"/>
      <c r="G30" s="278"/>
    </row>
    <row r="31" spans="1:7" x14ac:dyDescent="0.2">
      <c r="A31" s="8"/>
      <c r="B31" s="23" t="s">
        <v>19</v>
      </c>
      <c r="C31" s="23"/>
      <c r="D31" s="17"/>
      <c r="E31" s="4"/>
      <c r="F31" s="21"/>
      <c r="G31" s="22"/>
    </row>
    <row r="32" spans="1:7" ht="51" customHeight="1" x14ac:dyDescent="0.25">
      <c r="A32" s="8"/>
      <c r="B32" s="277" t="s">
        <v>20</v>
      </c>
      <c r="C32" s="277"/>
      <c r="D32" s="277"/>
      <c r="E32" s="277"/>
      <c r="F32" s="277"/>
      <c r="G32" s="278"/>
    </row>
    <row r="33" spans="1:7" ht="69" customHeight="1" x14ac:dyDescent="0.25">
      <c r="A33" s="8"/>
      <c r="B33" s="277" t="s">
        <v>21</v>
      </c>
      <c r="C33" s="277"/>
      <c r="D33" s="277"/>
      <c r="E33" s="277"/>
      <c r="F33" s="277"/>
      <c r="G33" s="278"/>
    </row>
    <row r="34" spans="1:7" x14ac:dyDescent="0.25">
      <c r="A34" s="8"/>
      <c r="B34" s="16" t="s">
        <v>22</v>
      </c>
      <c r="C34" s="16"/>
      <c r="D34" s="17"/>
      <c r="E34" s="4"/>
      <c r="F34" s="21"/>
      <c r="G34" s="22"/>
    </row>
    <row r="35" spans="1:7" x14ac:dyDescent="0.25">
      <c r="A35" s="8"/>
      <c r="B35" s="24" t="s">
        <v>23</v>
      </c>
      <c r="C35" s="24"/>
      <c r="D35" s="25"/>
      <c r="E35" s="26"/>
      <c r="F35" s="27"/>
      <c r="G35" s="28"/>
    </row>
    <row r="36" spans="1:7" x14ac:dyDescent="0.25">
      <c r="A36" s="8"/>
      <c r="B36" s="16"/>
      <c r="C36" s="16"/>
      <c r="D36" s="17"/>
      <c r="E36" s="29"/>
      <c r="F36" s="30"/>
      <c r="G36" s="22"/>
    </row>
    <row r="37" spans="1:7" ht="15" customHeight="1" x14ac:dyDescent="0.25">
      <c r="A37" s="8"/>
      <c r="B37" s="277" t="s">
        <v>24</v>
      </c>
      <c r="C37" s="277"/>
      <c r="D37" s="277"/>
      <c r="E37" s="277"/>
      <c r="F37" s="277"/>
      <c r="G37" s="278"/>
    </row>
    <row r="38" spans="1:7" ht="15" customHeight="1" x14ac:dyDescent="0.25">
      <c r="A38" s="8"/>
      <c r="B38" s="277" t="s">
        <v>25</v>
      </c>
      <c r="C38" s="277"/>
      <c r="D38" s="277"/>
      <c r="E38" s="277"/>
      <c r="F38" s="277"/>
      <c r="G38" s="278"/>
    </row>
    <row r="39" spans="1:7" ht="36" customHeight="1" x14ac:dyDescent="0.25">
      <c r="A39" s="8"/>
      <c r="B39" s="277" t="s">
        <v>26</v>
      </c>
      <c r="C39" s="277"/>
      <c r="D39" s="277"/>
      <c r="E39" s="277"/>
      <c r="F39" s="277"/>
      <c r="G39" s="278"/>
    </row>
    <row r="40" spans="1:7" ht="16.5" customHeight="1" x14ac:dyDescent="0.25">
      <c r="A40" s="8"/>
      <c r="B40" s="277" t="s">
        <v>27</v>
      </c>
      <c r="C40" s="277"/>
      <c r="D40" s="277"/>
      <c r="E40" s="277"/>
      <c r="F40" s="277"/>
      <c r="G40" s="278"/>
    </row>
    <row r="41" spans="1:7" ht="15" customHeight="1" x14ac:dyDescent="0.25">
      <c r="A41" s="8"/>
      <c r="B41" s="277" t="s">
        <v>28</v>
      </c>
      <c r="C41" s="277"/>
      <c r="D41" s="277"/>
      <c r="E41" s="277"/>
      <c r="F41" s="277"/>
      <c r="G41" s="278"/>
    </row>
    <row r="42" spans="1:7" ht="27.75" customHeight="1" x14ac:dyDescent="0.25">
      <c r="A42" s="8"/>
      <c r="B42" s="277" t="s">
        <v>29</v>
      </c>
      <c r="C42" s="277"/>
      <c r="D42" s="277"/>
      <c r="E42" s="277"/>
      <c r="F42" s="277"/>
      <c r="G42" s="278"/>
    </row>
    <row r="43" spans="1:7" ht="63" customHeight="1" x14ac:dyDescent="0.25">
      <c r="A43" s="8"/>
      <c r="B43" s="277" t="s">
        <v>30</v>
      </c>
      <c r="C43" s="277"/>
      <c r="D43" s="277"/>
      <c r="E43" s="277"/>
      <c r="F43" s="277"/>
      <c r="G43" s="278"/>
    </row>
    <row r="44" spans="1:7" ht="15" customHeight="1" x14ac:dyDescent="0.25">
      <c r="A44" s="8"/>
      <c r="B44" s="277" t="s">
        <v>31</v>
      </c>
      <c r="C44" s="277"/>
      <c r="D44" s="277"/>
      <c r="E44" s="277"/>
      <c r="F44" s="277"/>
      <c r="G44" s="278"/>
    </row>
    <row r="45" spans="1:7" ht="15" customHeight="1" x14ac:dyDescent="0.25">
      <c r="A45" s="8"/>
      <c r="B45" s="277" t="s">
        <v>32</v>
      </c>
      <c r="C45" s="277"/>
      <c r="D45" s="277"/>
      <c r="E45" s="277"/>
      <c r="F45" s="277"/>
      <c r="G45" s="278"/>
    </row>
    <row r="46" spans="1:7" x14ac:dyDescent="0.2">
      <c r="A46" s="8"/>
      <c r="B46" s="31"/>
      <c r="C46" s="31"/>
      <c r="D46" s="32"/>
      <c r="E46" s="33"/>
      <c r="F46" s="31"/>
      <c r="G46" s="34"/>
    </row>
    <row r="47" spans="1:7" x14ac:dyDescent="0.25">
      <c r="A47" s="8"/>
      <c r="B47" s="24" t="s">
        <v>33</v>
      </c>
      <c r="C47" s="24"/>
      <c r="D47" s="25"/>
      <c r="E47" s="26"/>
      <c r="F47" s="27"/>
      <c r="G47" s="28"/>
    </row>
    <row r="48" spans="1:7" x14ac:dyDescent="0.25">
      <c r="A48" s="8"/>
      <c r="B48" s="35" t="s">
        <v>34</v>
      </c>
      <c r="C48" s="35"/>
      <c r="D48" s="25"/>
      <c r="E48" s="26"/>
      <c r="F48" s="27"/>
      <c r="G48" s="28"/>
    </row>
    <row r="49" spans="1:7" x14ac:dyDescent="0.25">
      <c r="A49" s="8"/>
      <c r="B49" s="35" t="s">
        <v>35</v>
      </c>
      <c r="C49" s="35"/>
      <c r="D49" s="25"/>
      <c r="E49" s="26"/>
      <c r="F49" s="27"/>
      <c r="G49" s="28"/>
    </row>
    <row r="50" spans="1:7" x14ac:dyDescent="0.25">
      <c r="A50" s="8"/>
      <c r="B50" s="35" t="s">
        <v>36</v>
      </c>
      <c r="C50" s="35"/>
      <c r="D50" s="25"/>
      <c r="E50" s="26"/>
      <c r="F50" s="27"/>
      <c r="G50" s="28"/>
    </row>
    <row r="51" spans="1:7" x14ac:dyDescent="0.25">
      <c r="A51" s="8"/>
      <c r="B51" s="24" t="s">
        <v>37</v>
      </c>
      <c r="C51" s="24"/>
      <c r="D51" s="25"/>
      <c r="E51" s="26"/>
      <c r="F51" s="27"/>
      <c r="G51" s="28"/>
    </row>
    <row r="52" spans="1:7" x14ac:dyDescent="0.25">
      <c r="A52" s="8"/>
      <c r="B52" s="35" t="s">
        <v>38</v>
      </c>
      <c r="C52" s="35"/>
      <c r="D52" s="25"/>
      <c r="E52" s="26"/>
      <c r="F52" s="27"/>
      <c r="G52" s="28"/>
    </row>
    <row r="53" spans="1:7" x14ac:dyDescent="0.25">
      <c r="A53" s="8"/>
      <c r="B53" s="35" t="s">
        <v>39</v>
      </c>
      <c r="C53" s="35"/>
      <c r="D53" s="25"/>
      <c r="E53" s="26"/>
      <c r="F53" s="27"/>
      <c r="G53" s="28"/>
    </row>
    <row r="54" spans="1:7" x14ac:dyDescent="0.2">
      <c r="A54" s="8"/>
      <c r="B54" s="16"/>
      <c r="C54" s="16"/>
      <c r="D54" s="36"/>
      <c r="E54" s="4"/>
      <c r="F54" s="37"/>
      <c r="G54" s="38"/>
    </row>
    <row r="55" spans="1:7" ht="15.75" customHeight="1" thickBot="1" x14ac:dyDescent="0.3">
      <c r="A55" s="8"/>
      <c r="B55" s="279" t="s">
        <v>40</v>
      </c>
      <c r="C55" s="279"/>
      <c r="D55" s="279"/>
      <c r="E55" s="279"/>
      <c r="F55" s="279"/>
      <c r="G55" s="280"/>
    </row>
    <row r="56" spans="1:7" ht="15" customHeight="1" x14ac:dyDescent="0.25">
      <c r="A56" s="283" t="s">
        <v>41</v>
      </c>
      <c r="B56" s="284"/>
      <c r="C56" s="284"/>
      <c r="D56" s="284"/>
      <c r="E56" s="284"/>
      <c r="F56" s="284"/>
      <c r="G56" s="285"/>
    </row>
    <row r="57" spans="1:7" ht="15.75" customHeight="1" x14ac:dyDescent="0.25">
      <c r="A57" s="286" t="s">
        <v>42</v>
      </c>
      <c r="B57" s="287"/>
      <c r="C57" s="287"/>
      <c r="D57" s="287"/>
      <c r="E57" s="287"/>
      <c r="F57" s="287"/>
      <c r="G57" s="288"/>
    </row>
    <row r="58" spans="1:7" ht="57" x14ac:dyDescent="0.25">
      <c r="A58" s="39" t="s">
        <v>43</v>
      </c>
      <c r="B58" s="40" t="s">
        <v>44</v>
      </c>
      <c r="C58" s="41" t="s">
        <v>788</v>
      </c>
      <c r="D58" s="42" t="s">
        <v>45</v>
      </c>
      <c r="E58" s="291" t="s">
        <v>46</v>
      </c>
      <c r="F58" s="43" t="s">
        <v>47</v>
      </c>
      <c r="G58" s="44" t="s">
        <v>789</v>
      </c>
    </row>
    <row r="59" spans="1:7" ht="14.25" x14ac:dyDescent="0.25">
      <c r="A59" s="39"/>
      <c r="B59" s="41"/>
      <c r="C59" s="41"/>
      <c r="D59" s="42"/>
      <c r="E59" s="291"/>
      <c r="F59" s="42"/>
      <c r="G59" s="45"/>
    </row>
    <row r="60" spans="1:7" x14ac:dyDescent="0.25">
      <c r="A60" s="39">
        <v>1</v>
      </c>
      <c r="B60" s="46" t="s">
        <v>2</v>
      </c>
      <c r="C60" s="46"/>
      <c r="D60" s="47"/>
      <c r="E60" s="292"/>
      <c r="F60" s="47"/>
      <c r="G60" s="48"/>
    </row>
    <row r="61" spans="1:7" ht="90" x14ac:dyDescent="0.25">
      <c r="A61" s="49">
        <v>1.1000000000000001</v>
      </c>
      <c r="B61" s="50" t="s">
        <v>48</v>
      </c>
      <c r="C61" s="50"/>
      <c r="D61" s="51" t="s">
        <v>49</v>
      </c>
      <c r="E61" s="293">
        <v>1</v>
      </c>
      <c r="F61" s="51"/>
      <c r="G61" s="52">
        <f>E61*F61</f>
        <v>0</v>
      </c>
    </row>
    <row r="62" spans="1:7" x14ac:dyDescent="0.25">
      <c r="A62" s="49">
        <v>1.2</v>
      </c>
      <c r="B62" s="50" t="s">
        <v>50</v>
      </c>
      <c r="C62" s="50"/>
      <c r="D62" s="51" t="s">
        <v>51</v>
      </c>
      <c r="E62" s="293">
        <v>1</v>
      </c>
      <c r="F62" s="51"/>
      <c r="G62" s="52">
        <f>E62*F62</f>
        <v>0</v>
      </c>
    </row>
    <row r="63" spans="1:7" ht="30" x14ac:dyDescent="0.25">
      <c r="A63" s="49">
        <v>1.3</v>
      </c>
      <c r="B63" s="50" t="s">
        <v>52</v>
      </c>
      <c r="C63" s="50"/>
      <c r="D63" s="51" t="s">
        <v>53</v>
      </c>
      <c r="E63" s="294">
        <v>23.059000000000001</v>
      </c>
      <c r="F63" s="53"/>
      <c r="G63" s="52">
        <f>E63*F63</f>
        <v>0</v>
      </c>
    </row>
    <row r="64" spans="1:7" x14ac:dyDescent="0.25">
      <c r="A64" s="49"/>
      <c r="B64" s="54"/>
      <c r="C64" s="54"/>
      <c r="D64" s="51"/>
      <c r="E64" s="292"/>
      <c r="F64" s="51"/>
      <c r="G64" s="52"/>
    </row>
    <row r="65" spans="1:7" x14ac:dyDescent="0.25">
      <c r="A65" s="55"/>
      <c r="B65" s="56" t="s">
        <v>54</v>
      </c>
      <c r="C65" s="56"/>
      <c r="D65" s="57"/>
      <c r="E65" s="296"/>
      <c r="F65" s="57"/>
      <c r="G65" s="58">
        <f>SUM(G61:G63)</f>
        <v>0</v>
      </c>
    </row>
    <row r="66" spans="1:7" ht="12" customHeight="1" x14ac:dyDescent="0.25">
      <c r="A66" s="59"/>
      <c r="B66" s="60"/>
      <c r="C66" s="60"/>
      <c r="D66" s="61"/>
      <c r="E66" s="297"/>
      <c r="F66" s="62"/>
      <c r="G66" s="63"/>
    </row>
    <row r="67" spans="1:7" x14ac:dyDescent="0.25">
      <c r="A67" s="39">
        <v>2</v>
      </c>
      <c r="B67" s="46" t="s">
        <v>3</v>
      </c>
      <c r="C67" s="46"/>
      <c r="D67" s="47"/>
      <c r="E67" s="292"/>
      <c r="F67" s="47"/>
      <c r="G67" s="48"/>
    </row>
    <row r="68" spans="1:7" x14ac:dyDescent="0.25">
      <c r="A68" s="64">
        <v>2.1</v>
      </c>
      <c r="B68" s="65" t="s">
        <v>55</v>
      </c>
      <c r="C68" s="65"/>
      <c r="D68" s="66"/>
      <c r="E68" s="298"/>
      <c r="F68" s="66"/>
      <c r="G68" s="67"/>
    </row>
    <row r="69" spans="1:7" ht="18" x14ac:dyDescent="0.25">
      <c r="A69" s="49" t="s">
        <v>56</v>
      </c>
      <c r="B69" s="54" t="s">
        <v>57</v>
      </c>
      <c r="C69" s="54"/>
      <c r="D69" s="51" t="s">
        <v>58</v>
      </c>
      <c r="E69" s="293">
        <f>(15*15*PI())</f>
        <v>706.85834705770344</v>
      </c>
      <c r="F69" s="51"/>
      <c r="G69" s="52">
        <f>E69*F69</f>
        <v>0</v>
      </c>
    </row>
    <row r="70" spans="1:7" ht="18" x14ac:dyDescent="0.25">
      <c r="A70" s="49" t="s">
        <v>59</v>
      </c>
      <c r="B70" s="54" t="s">
        <v>60</v>
      </c>
      <c r="C70" s="54"/>
      <c r="D70" s="51" t="s">
        <v>61</v>
      </c>
      <c r="E70" s="293">
        <f>(8*8*PI())*6</f>
        <v>1206.3715789784806</v>
      </c>
      <c r="F70" s="51"/>
      <c r="G70" s="52">
        <f>E70*F70</f>
        <v>0</v>
      </c>
    </row>
    <row r="71" spans="1:7" ht="18" x14ac:dyDescent="0.25">
      <c r="A71" s="49" t="s">
        <v>62</v>
      </c>
      <c r="B71" s="54" t="s">
        <v>63</v>
      </c>
      <c r="C71" s="54"/>
      <c r="D71" s="51" t="s">
        <v>61</v>
      </c>
      <c r="E71" s="293">
        <f>(8*8*PI())*3</f>
        <v>603.18578948924028</v>
      </c>
      <c r="F71" s="53"/>
      <c r="G71" s="68">
        <f>F71*E71</f>
        <v>0</v>
      </c>
    </row>
    <row r="72" spans="1:7" ht="18" x14ac:dyDescent="0.25">
      <c r="A72" s="49" t="s">
        <v>64</v>
      </c>
      <c r="B72" s="54" t="s">
        <v>65</v>
      </c>
      <c r="C72" s="54"/>
      <c r="D72" s="51" t="s">
        <v>61</v>
      </c>
      <c r="E72" s="293">
        <f>(6*7*PI())*2</f>
        <v>263.89378290154264</v>
      </c>
      <c r="F72" s="53"/>
      <c r="G72" s="68">
        <f>F72*E72</f>
        <v>0</v>
      </c>
    </row>
    <row r="73" spans="1:7" ht="30" x14ac:dyDescent="0.25">
      <c r="A73" s="69" t="s">
        <v>66</v>
      </c>
      <c r="B73" s="70" t="s">
        <v>67</v>
      </c>
      <c r="C73" s="70"/>
      <c r="D73" s="53" t="s">
        <v>68</v>
      </c>
      <c r="E73" s="299">
        <v>63</v>
      </c>
      <c r="F73" s="53"/>
      <c r="G73" s="71">
        <f t="shared" ref="G73:G79" si="0">E73*F73</f>
        <v>0</v>
      </c>
    </row>
    <row r="74" spans="1:7" ht="18" x14ac:dyDescent="0.25">
      <c r="A74" s="49" t="s">
        <v>69</v>
      </c>
      <c r="B74" s="54" t="s">
        <v>70</v>
      </c>
      <c r="C74" s="54"/>
      <c r="D74" s="51" t="s">
        <v>61</v>
      </c>
      <c r="E74" s="293">
        <f>25*0.6*2</f>
        <v>30</v>
      </c>
      <c r="F74" s="51"/>
      <c r="G74" s="52">
        <f t="shared" si="0"/>
        <v>0</v>
      </c>
    </row>
    <row r="75" spans="1:7" ht="18" x14ac:dyDescent="0.25">
      <c r="A75" s="49" t="s">
        <v>71</v>
      </c>
      <c r="B75" s="54" t="s">
        <v>72</v>
      </c>
      <c r="C75" s="54"/>
      <c r="D75" s="51" t="s">
        <v>58</v>
      </c>
      <c r="E75" s="293">
        <f>30*0.6</f>
        <v>18</v>
      </c>
      <c r="F75" s="51"/>
      <c r="G75" s="52">
        <f t="shared" si="0"/>
        <v>0</v>
      </c>
    </row>
    <row r="76" spans="1:7" ht="18" x14ac:dyDescent="0.25">
      <c r="A76" s="49" t="s">
        <v>73</v>
      </c>
      <c r="B76" s="54" t="s">
        <v>74</v>
      </c>
      <c r="C76" s="54"/>
      <c r="D76" s="51" t="s">
        <v>61</v>
      </c>
      <c r="E76" s="293">
        <f>25*6*0.3</f>
        <v>45</v>
      </c>
      <c r="F76" s="51"/>
      <c r="G76" s="52">
        <f t="shared" si="0"/>
        <v>0</v>
      </c>
    </row>
    <row r="77" spans="1:7" ht="18" x14ac:dyDescent="0.25">
      <c r="A77" s="49" t="s">
        <v>75</v>
      </c>
      <c r="B77" s="54" t="s">
        <v>76</v>
      </c>
      <c r="C77" s="54"/>
      <c r="D77" s="51" t="s">
        <v>61</v>
      </c>
      <c r="E77" s="293">
        <f>30*6*0.15</f>
        <v>27</v>
      </c>
      <c r="F77" s="51"/>
      <c r="G77" s="52">
        <f t="shared" si="0"/>
        <v>0</v>
      </c>
    </row>
    <row r="78" spans="1:7" ht="30" x14ac:dyDescent="0.25">
      <c r="A78" s="49" t="s">
        <v>77</v>
      </c>
      <c r="B78" s="54" t="s">
        <v>78</v>
      </c>
      <c r="C78" s="54"/>
      <c r="D78" s="51" t="s">
        <v>61</v>
      </c>
      <c r="E78" s="293">
        <f>E69*0.2</f>
        <v>141.37166941154069</v>
      </c>
      <c r="F78" s="51"/>
      <c r="G78" s="52">
        <f t="shared" si="0"/>
        <v>0</v>
      </c>
    </row>
    <row r="79" spans="1:7" ht="30" x14ac:dyDescent="0.25">
      <c r="A79" s="69" t="s">
        <v>79</v>
      </c>
      <c r="B79" s="70" t="s">
        <v>80</v>
      </c>
      <c r="C79" s="70"/>
      <c r="D79" s="53" t="s">
        <v>61</v>
      </c>
      <c r="E79" s="299">
        <f>(30*PI())*0.5*0.8</f>
        <v>37.699111843077517</v>
      </c>
      <c r="F79" s="53"/>
      <c r="G79" s="71">
        <f t="shared" si="0"/>
        <v>0</v>
      </c>
    </row>
    <row r="80" spans="1:7" x14ac:dyDescent="0.25">
      <c r="A80" s="49" t="s">
        <v>81</v>
      </c>
      <c r="B80" s="70" t="s">
        <v>82</v>
      </c>
      <c r="C80" s="70"/>
      <c r="D80" s="53" t="s">
        <v>68</v>
      </c>
      <c r="E80" s="299">
        <f>(60*PI())</f>
        <v>188.49555921538757</v>
      </c>
      <c r="F80" s="53"/>
      <c r="G80" s="71">
        <f>E80*F80</f>
        <v>0</v>
      </c>
    </row>
    <row r="81" spans="1:7" ht="18" x14ac:dyDescent="0.25">
      <c r="A81" s="69" t="s">
        <v>83</v>
      </c>
      <c r="B81" s="54" t="s">
        <v>84</v>
      </c>
      <c r="C81" s="54"/>
      <c r="D81" s="51" t="s">
        <v>58</v>
      </c>
      <c r="E81" s="293">
        <f>E69</f>
        <v>706.85834705770344</v>
      </c>
      <c r="F81" s="51"/>
      <c r="G81" s="52">
        <f>E81*F81</f>
        <v>0</v>
      </c>
    </row>
    <row r="82" spans="1:7" x14ac:dyDescent="0.25">
      <c r="A82" s="72"/>
      <c r="B82" s="73" t="s">
        <v>85</v>
      </c>
      <c r="C82" s="73"/>
      <c r="D82" s="74"/>
      <c r="E82" s="300"/>
      <c r="F82" s="74"/>
      <c r="G82" s="75">
        <f>SUM(G69:G81)</f>
        <v>0</v>
      </c>
    </row>
    <row r="83" spans="1:7" x14ac:dyDescent="0.25">
      <c r="A83" s="69"/>
      <c r="B83" s="76"/>
      <c r="C83" s="76"/>
      <c r="D83" s="53"/>
      <c r="E83" s="301"/>
      <c r="F83" s="53"/>
      <c r="G83" s="77"/>
    </row>
    <row r="84" spans="1:7" x14ac:dyDescent="0.25">
      <c r="A84" s="69"/>
      <c r="B84" s="76"/>
      <c r="C84" s="76"/>
      <c r="D84" s="53"/>
      <c r="E84" s="301"/>
      <c r="F84" s="53"/>
      <c r="G84" s="77"/>
    </row>
    <row r="85" spans="1:7" x14ac:dyDescent="0.25">
      <c r="A85" s="64">
        <v>2.2000000000000002</v>
      </c>
      <c r="B85" s="65" t="s">
        <v>86</v>
      </c>
      <c r="C85" s="65"/>
      <c r="D85" s="66"/>
      <c r="E85" s="298"/>
      <c r="F85" s="66"/>
      <c r="G85" s="67"/>
    </row>
    <row r="86" spans="1:7" ht="18" x14ac:dyDescent="0.25">
      <c r="A86" s="49" t="s">
        <v>87</v>
      </c>
      <c r="B86" s="54" t="s">
        <v>57</v>
      </c>
      <c r="C86" s="54"/>
      <c r="D86" s="51" t="s">
        <v>58</v>
      </c>
      <c r="E86" s="293">
        <f>(20*20*PI())*1.05</f>
        <v>1319.4689145077132</v>
      </c>
      <c r="F86" s="51"/>
      <c r="G86" s="52">
        <f>E86*F86</f>
        <v>0</v>
      </c>
    </row>
    <row r="87" spans="1:7" ht="18" x14ac:dyDescent="0.25">
      <c r="A87" s="49" t="s">
        <v>88</v>
      </c>
      <c r="B87" s="54" t="s">
        <v>60</v>
      </c>
      <c r="C87" s="54"/>
      <c r="D87" s="51" t="s">
        <v>61</v>
      </c>
      <c r="E87" s="293">
        <f>(6*6*PI())*6</f>
        <v>678.58401317539528</v>
      </c>
      <c r="F87" s="51"/>
      <c r="G87" s="52">
        <f>E87*F87</f>
        <v>0</v>
      </c>
    </row>
    <row r="88" spans="1:7" ht="18" x14ac:dyDescent="0.25">
      <c r="A88" s="49" t="s">
        <v>89</v>
      </c>
      <c r="B88" s="54" t="s">
        <v>63</v>
      </c>
      <c r="C88" s="54"/>
      <c r="D88" s="53" t="s">
        <v>61</v>
      </c>
      <c r="E88" s="293">
        <f>(5*5*PI())*3</f>
        <v>235.61944901923448</v>
      </c>
      <c r="F88" s="53"/>
      <c r="G88" s="71">
        <f>F88*E88</f>
        <v>0</v>
      </c>
    </row>
    <row r="89" spans="1:7" ht="18" x14ac:dyDescent="0.25">
      <c r="A89" s="49" t="s">
        <v>90</v>
      </c>
      <c r="B89" s="54" t="s">
        <v>65</v>
      </c>
      <c r="C89" s="54"/>
      <c r="D89" s="53" t="s">
        <v>61</v>
      </c>
      <c r="E89" s="293">
        <f>(5*5*PI())*2</f>
        <v>157.07963267948966</v>
      </c>
      <c r="F89" s="53"/>
      <c r="G89" s="71">
        <f>F89*E89</f>
        <v>0</v>
      </c>
    </row>
    <row r="90" spans="1:7" ht="30" x14ac:dyDescent="0.25">
      <c r="A90" s="49" t="s">
        <v>91</v>
      </c>
      <c r="B90" s="54" t="s">
        <v>92</v>
      </c>
      <c r="C90" s="54"/>
      <c r="D90" s="53" t="s">
        <v>68</v>
      </c>
      <c r="E90" s="299">
        <v>30</v>
      </c>
      <c r="F90" s="53"/>
      <c r="G90" s="71">
        <f t="shared" ref="G90:G96" si="1">E90*F90</f>
        <v>0</v>
      </c>
    </row>
    <row r="91" spans="1:7" ht="18" x14ac:dyDescent="0.25">
      <c r="A91" s="49" t="s">
        <v>93</v>
      </c>
      <c r="B91" s="54" t="s">
        <v>70</v>
      </c>
      <c r="C91" s="54"/>
      <c r="D91" s="51" t="s">
        <v>61</v>
      </c>
      <c r="E91" s="293">
        <f>15*0.6*2</f>
        <v>18</v>
      </c>
      <c r="F91" s="51"/>
      <c r="G91" s="52">
        <f t="shared" si="1"/>
        <v>0</v>
      </c>
    </row>
    <row r="92" spans="1:7" ht="18" x14ac:dyDescent="0.25">
      <c r="A92" s="49" t="s">
        <v>94</v>
      </c>
      <c r="B92" s="54" t="s">
        <v>72</v>
      </c>
      <c r="C92" s="54"/>
      <c r="D92" s="51" t="s">
        <v>58</v>
      </c>
      <c r="E92" s="293">
        <f>20*0.6</f>
        <v>12</v>
      </c>
      <c r="F92" s="51"/>
      <c r="G92" s="52">
        <f t="shared" si="1"/>
        <v>0</v>
      </c>
    </row>
    <row r="93" spans="1:7" s="78" customFormat="1" ht="18" x14ac:dyDescent="0.25">
      <c r="A93" s="49" t="s">
        <v>95</v>
      </c>
      <c r="B93" s="54" t="s">
        <v>74</v>
      </c>
      <c r="C93" s="54"/>
      <c r="D93" s="51" t="s">
        <v>61</v>
      </c>
      <c r="E93" s="293">
        <f>20*6*0.3</f>
        <v>36</v>
      </c>
      <c r="F93" s="51"/>
      <c r="G93" s="52">
        <f t="shared" si="1"/>
        <v>0</v>
      </c>
    </row>
    <row r="94" spans="1:7" ht="18" x14ac:dyDescent="0.25">
      <c r="A94" s="49" t="s">
        <v>96</v>
      </c>
      <c r="B94" s="54" t="s">
        <v>76</v>
      </c>
      <c r="C94" s="54"/>
      <c r="D94" s="51" t="s">
        <v>61</v>
      </c>
      <c r="E94" s="293">
        <f>20*6*0.15</f>
        <v>18</v>
      </c>
      <c r="F94" s="51"/>
      <c r="G94" s="52">
        <f t="shared" si="1"/>
        <v>0</v>
      </c>
    </row>
    <row r="95" spans="1:7" ht="30" x14ac:dyDescent="0.25">
      <c r="A95" s="49" t="s">
        <v>97</v>
      </c>
      <c r="B95" s="54" t="s">
        <v>78</v>
      </c>
      <c r="C95" s="54"/>
      <c r="D95" s="51" t="s">
        <v>61</v>
      </c>
      <c r="E95" s="293">
        <f>E86*0.2</f>
        <v>263.89378290154264</v>
      </c>
      <c r="F95" s="51"/>
      <c r="G95" s="52">
        <f t="shared" si="1"/>
        <v>0</v>
      </c>
    </row>
    <row r="96" spans="1:7" ht="30" x14ac:dyDescent="0.25">
      <c r="A96" s="49" t="s">
        <v>98</v>
      </c>
      <c r="B96" s="70" t="s">
        <v>80</v>
      </c>
      <c r="C96" s="70"/>
      <c r="D96" s="53" t="s">
        <v>61</v>
      </c>
      <c r="E96" s="299">
        <f>(30*PI())*0.5*0.8</f>
        <v>37.699111843077517</v>
      </c>
      <c r="F96" s="53"/>
      <c r="G96" s="71">
        <f t="shared" si="1"/>
        <v>0</v>
      </c>
    </row>
    <row r="97" spans="1:7" x14ac:dyDescent="0.25">
      <c r="A97" s="49" t="s">
        <v>99</v>
      </c>
      <c r="B97" s="70" t="s">
        <v>82</v>
      </c>
      <c r="C97" s="70"/>
      <c r="D97" s="53" t="s">
        <v>68</v>
      </c>
      <c r="E97" s="299">
        <f>(30*PI())</f>
        <v>94.247779607693786</v>
      </c>
      <c r="F97" s="53"/>
      <c r="G97" s="71">
        <f>E97*F97</f>
        <v>0</v>
      </c>
    </row>
    <row r="98" spans="1:7" ht="18" x14ac:dyDescent="0.25">
      <c r="A98" s="49" t="s">
        <v>100</v>
      </c>
      <c r="B98" s="54" t="s">
        <v>84</v>
      </c>
      <c r="C98" s="54"/>
      <c r="D98" s="51" t="s">
        <v>58</v>
      </c>
      <c r="E98" s="293">
        <f>E86</f>
        <v>1319.4689145077132</v>
      </c>
      <c r="F98" s="51"/>
      <c r="G98" s="52">
        <f>E98*F98</f>
        <v>0</v>
      </c>
    </row>
    <row r="99" spans="1:7" x14ac:dyDescent="0.25">
      <c r="A99" s="72"/>
      <c r="B99" s="73" t="s">
        <v>101</v>
      </c>
      <c r="C99" s="73"/>
      <c r="D99" s="74"/>
      <c r="E99" s="302"/>
      <c r="F99" s="74"/>
      <c r="G99" s="75">
        <f>SUM(G86:G98)</f>
        <v>0</v>
      </c>
    </row>
    <row r="100" spans="1:7" x14ac:dyDescent="0.25">
      <c r="A100" s="69"/>
      <c r="B100" s="76"/>
      <c r="C100" s="76"/>
      <c r="D100" s="53"/>
      <c r="E100" s="303"/>
      <c r="F100" s="53"/>
      <c r="G100" s="77"/>
    </row>
    <row r="101" spans="1:7" x14ac:dyDescent="0.25">
      <c r="A101" s="64">
        <v>2.2999999999999998</v>
      </c>
      <c r="B101" s="65" t="s">
        <v>102</v>
      </c>
      <c r="C101" s="65"/>
      <c r="D101" s="66"/>
      <c r="E101" s="298"/>
      <c r="F101" s="66"/>
      <c r="G101" s="67"/>
    </row>
    <row r="102" spans="1:7" ht="18" x14ac:dyDescent="0.25">
      <c r="A102" s="49" t="s">
        <v>103</v>
      </c>
      <c r="B102" s="54" t="s">
        <v>57</v>
      </c>
      <c r="C102" s="54"/>
      <c r="D102" s="51" t="s">
        <v>58</v>
      </c>
      <c r="E102" s="293">
        <f>(20*20*PI())*1.05</f>
        <v>1319.4689145077132</v>
      </c>
      <c r="F102" s="51"/>
      <c r="G102" s="52">
        <f>E102*F102</f>
        <v>0</v>
      </c>
    </row>
    <row r="103" spans="1:7" ht="18" x14ac:dyDescent="0.25">
      <c r="A103" s="49" t="s">
        <v>104</v>
      </c>
      <c r="B103" s="54" t="s">
        <v>60</v>
      </c>
      <c r="C103" s="54"/>
      <c r="D103" s="51" t="s">
        <v>61</v>
      </c>
      <c r="E103" s="293">
        <f>(6*6*PI())*6</f>
        <v>678.58401317539528</v>
      </c>
      <c r="F103" s="51"/>
      <c r="G103" s="52">
        <f>E103*F103</f>
        <v>0</v>
      </c>
    </row>
    <row r="104" spans="1:7" ht="18" x14ac:dyDescent="0.25">
      <c r="A104" s="49" t="s">
        <v>105</v>
      </c>
      <c r="B104" s="54" t="s">
        <v>63</v>
      </c>
      <c r="C104" s="54"/>
      <c r="D104" s="51" t="s">
        <v>61</v>
      </c>
      <c r="E104" s="293">
        <f>(5*5*PI())*3</f>
        <v>235.61944901923448</v>
      </c>
      <c r="F104" s="53"/>
      <c r="G104" s="68">
        <f>F104*E104</f>
        <v>0</v>
      </c>
    </row>
    <row r="105" spans="1:7" ht="18" x14ac:dyDescent="0.25">
      <c r="A105" s="49" t="s">
        <v>106</v>
      </c>
      <c r="B105" s="54" t="s">
        <v>65</v>
      </c>
      <c r="C105" s="54"/>
      <c r="D105" s="51" t="s">
        <v>61</v>
      </c>
      <c r="E105" s="293">
        <f>(5*5*PI())*2</f>
        <v>157.07963267948966</v>
      </c>
      <c r="F105" s="53"/>
      <c r="G105" s="68">
        <f>F105*E105</f>
        <v>0</v>
      </c>
    </row>
    <row r="106" spans="1:7" ht="30" x14ac:dyDescent="0.25">
      <c r="A106" s="49" t="s">
        <v>107</v>
      </c>
      <c r="B106" s="70" t="s">
        <v>67</v>
      </c>
      <c r="C106" s="70"/>
      <c r="D106" s="53" t="s">
        <v>68</v>
      </c>
      <c r="E106" s="299">
        <v>30</v>
      </c>
      <c r="F106" s="53"/>
      <c r="G106" s="71">
        <f t="shared" ref="G106:G112" si="2">E106*F106</f>
        <v>0</v>
      </c>
    </row>
    <row r="107" spans="1:7" ht="18" x14ac:dyDescent="0.25">
      <c r="A107" s="49" t="s">
        <v>108</v>
      </c>
      <c r="B107" s="54" t="s">
        <v>70</v>
      </c>
      <c r="C107" s="54"/>
      <c r="D107" s="51" t="s">
        <v>61</v>
      </c>
      <c r="E107" s="293">
        <f>15*0.6*2</f>
        <v>18</v>
      </c>
      <c r="F107" s="51"/>
      <c r="G107" s="52">
        <f t="shared" si="2"/>
        <v>0</v>
      </c>
    </row>
    <row r="108" spans="1:7" ht="18" x14ac:dyDescent="0.25">
      <c r="A108" s="49" t="s">
        <v>109</v>
      </c>
      <c r="B108" s="54" t="s">
        <v>72</v>
      </c>
      <c r="C108" s="54"/>
      <c r="D108" s="51" t="s">
        <v>58</v>
      </c>
      <c r="E108" s="293">
        <f>20*0.6</f>
        <v>12</v>
      </c>
      <c r="F108" s="51"/>
      <c r="G108" s="52">
        <f t="shared" si="2"/>
        <v>0</v>
      </c>
    </row>
    <row r="109" spans="1:7" ht="18" x14ac:dyDescent="0.25">
      <c r="A109" s="49" t="s">
        <v>110</v>
      </c>
      <c r="B109" s="54" t="s">
        <v>74</v>
      </c>
      <c r="C109" s="54"/>
      <c r="D109" s="51" t="s">
        <v>61</v>
      </c>
      <c r="E109" s="293">
        <f>20*6*0.3</f>
        <v>36</v>
      </c>
      <c r="F109" s="51"/>
      <c r="G109" s="52">
        <f t="shared" si="2"/>
        <v>0</v>
      </c>
    </row>
    <row r="110" spans="1:7" ht="18" x14ac:dyDescent="0.25">
      <c r="A110" s="49" t="s">
        <v>111</v>
      </c>
      <c r="B110" s="54" t="s">
        <v>76</v>
      </c>
      <c r="C110" s="54"/>
      <c r="D110" s="51" t="s">
        <v>61</v>
      </c>
      <c r="E110" s="293">
        <f>20*6*0.15</f>
        <v>18</v>
      </c>
      <c r="F110" s="51"/>
      <c r="G110" s="52">
        <f t="shared" si="2"/>
        <v>0</v>
      </c>
    </row>
    <row r="111" spans="1:7" ht="30" x14ac:dyDescent="0.25">
      <c r="A111" s="49" t="s">
        <v>112</v>
      </c>
      <c r="B111" s="54" t="s">
        <v>78</v>
      </c>
      <c r="C111" s="54"/>
      <c r="D111" s="51" t="s">
        <v>61</v>
      </c>
      <c r="E111" s="293">
        <f>E102*0.2</f>
        <v>263.89378290154264</v>
      </c>
      <c r="F111" s="51"/>
      <c r="G111" s="52">
        <f t="shared" si="2"/>
        <v>0</v>
      </c>
    </row>
    <row r="112" spans="1:7" ht="30" x14ac:dyDescent="0.25">
      <c r="A112" s="49" t="s">
        <v>113</v>
      </c>
      <c r="B112" s="70" t="s">
        <v>80</v>
      </c>
      <c r="C112" s="70"/>
      <c r="D112" s="53" t="s">
        <v>61</v>
      </c>
      <c r="E112" s="299">
        <f>(30*PI())*0.5*0.8</f>
        <v>37.699111843077517</v>
      </c>
      <c r="F112" s="53"/>
      <c r="G112" s="71">
        <f t="shared" si="2"/>
        <v>0</v>
      </c>
    </row>
    <row r="113" spans="1:7" x14ac:dyDescent="0.25">
      <c r="A113" s="49" t="s">
        <v>114</v>
      </c>
      <c r="B113" s="70" t="s">
        <v>82</v>
      </c>
      <c r="C113" s="70"/>
      <c r="D113" s="53" t="s">
        <v>68</v>
      </c>
      <c r="E113" s="299">
        <f>(30*PI())</f>
        <v>94.247779607693786</v>
      </c>
      <c r="F113" s="53"/>
      <c r="G113" s="71">
        <f>E113*F113</f>
        <v>0</v>
      </c>
    </row>
    <row r="114" spans="1:7" ht="18" x14ac:dyDescent="0.25">
      <c r="A114" s="49" t="s">
        <v>115</v>
      </c>
      <c r="B114" s="54" t="s">
        <v>84</v>
      </c>
      <c r="C114" s="54"/>
      <c r="D114" s="51" t="s">
        <v>58</v>
      </c>
      <c r="E114" s="293">
        <f>E102</f>
        <v>1319.4689145077132</v>
      </c>
      <c r="F114" s="51"/>
      <c r="G114" s="52">
        <f>E114*F114</f>
        <v>0</v>
      </c>
    </row>
    <row r="115" spans="1:7" x14ac:dyDescent="0.25">
      <c r="A115" s="79"/>
      <c r="B115" s="65" t="s">
        <v>116</v>
      </c>
      <c r="C115" s="65"/>
      <c r="D115" s="66"/>
      <c r="E115" s="304"/>
      <c r="F115" s="66"/>
      <c r="G115" s="67">
        <f>SUM(G102:G114)</f>
        <v>0</v>
      </c>
    </row>
    <row r="116" spans="1:7" x14ac:dyDescent="0.25">
      <c r="A116" s="55"/>
      <c r="B116" s="56" t="s">
        <v>117</v>
      </c>
      <c r="C116" s="56"/>
      <c r="D116" s="57"/>
      <c r="E116" s="305"/>
      <c r="F116" s="57"/>
      <c r="G116" s="58">
        <f>G115+G82+G99</f>
        <v>0</v>
      </c>
    </row>
    <row r="117" spans="1:7" x14ac:dyDescent="0.25">
      <c r="A117" s="69"/>
      <c r="B117" s="76"/>
      <c r="C117" s="76"/>
      <c r="D117" s="53"/>
      <c r="E117" s="301"/>
      <c r="F117" s="53"/>
      <c r="G117" s="77"/>
    </row>
    <row r="118" spans="1:7" x14ac:dyDescent="0.25">
      <c r="A118" s="39">
        <v>3</v>
      </c>
      <c r="B118" s="46" t="s">
        <v>118</v>
      </c>
      <c r="C118" s="46"/>
      <c r="D118" s="47"/>
      <c r="E118" s="292"/>
      <c r="F118" s="47"/>
      <c r="G118" s="48"/>
    </row>
    <row r="119" spans="1:7" x14ac:dyDescent="0.25">
      <c r="A119" s="80"/>
      <c r="B119" s="81"/>
      <c r="C119" s="81"/>
      <c r="D119" s="82"/>
      <c r="E119" s="306"/>
      <c r="F119" s="82"/>
      <c r="G119" s="83"/>
    </row>
    <row r="120" spans="1:7" x14ac:dyDescent="0.25">
      <c r="A120" s="39"/>
      <c r="B120" s="46" t="s">
        <v>119</v>
      </c>
      <c r="C120" s="46"/>
      <c r="D120" s="47"/>
      <c r="E120" s="292"/>
      <c r="F120" s="47"/>
      <c r="G120" s="48"/>
    </row>
    <row r="121" spans="1:7" x14ac:dyDescent="0.25">
      <c r="A121" s="49"/>
      <c r="B121" s="54"/>
      <c r="C121" s="54"/>
      <c r="D121" s="51"/>
      <c r="E121" s="307"/>
      <c r="F121" s="51"/>
      <c r="G121" s="52"/>
    </row>
    <row r="122" spans="1:7" x14ac:dyDescent="0.25">
      <c r="A122" s="49"/>
      <c r="B122" s="54" t="s">
        <v>120</v>
      </c>
      <c r="C122" s="54"/>
      <c r="D122" s="51"/>
      <c r="E122" s="307"/>
      <c r="F122" s="51"/>
      <c r="G122" s="52"/>
    </row>
    <row r="123" spans="1:7" x14ac:dyDescent="0.25">
      <c r="A123" s="49"/>
      <c r="B123" s="54"/>
      <c r="C123" s="54"/>
      <c r="D123" s="51"/>
      <c r="E123" s="307"/>
      <c r="F123" s="51"/>
      <c r="G123" s="52"/>
    </row>
    <row r="124" spans="1:7" x14ac:dyDescent="0.25">
      <c r="A124" s="49"/>
      <c r="B124" s="54" t="s">
        <v>121</v>
      </c>
      <c r="C124" s="54"/>
      <c r="D124" s="51"/>
      <c r="E124" s="307"/>
      <c r="F124" s="51"/>
      <c r="G124" s="52"/>
    </row>
    <row r="125" spans="1:7" x14ac:dyDescent="0.25">
      <c r="A125" s="84"/>
      <c r="B125" s="85"/>
      <c r="C125" s="85"/>
      <c r="D125" s="86"/>
      <c r="E125" s="308"/>
      <c r="F125" s="86"/>
      <c r="G125" s="87"/>
    </row>
    <row r="126" spans="1:7" x14ac:dyDescent="0.25">
      <c r="A126" s="64">
        <v>3.1</v>
      </c>
      <c r="B126" s="65" t="s">
        <v>122</v>
      </c>
      <c r="C126" s="65"/>
      <c r="D126" s="66"/>
      <c r="E126" s="298"/>
      <c r="F126" s="66"/>
      <c r="G126" s="67"/>
    </row>
    <row r="127" spans="1:7" x14ac:dyDescent="0.25">
      <c r="A127" s="39"/>
      <c r="B127" s="46"/>
      <c r="C127" s="46"/>
      <c r="D127" s="47"/>
      <c r="E127" s="292"/>
      <c r="F127" s="47"/>
      <c r="G127" s="68"/>
    </row>
    <row r="128" spans="1:7" ht="30" x14ac:dyDescent="0.25">
      <c r="A128" s="49" t="s">
        <v>123</v>
      </c>
      <c r="B128" s="70" t="s">
        <v>124</v>
      </c>
      <c r="C128" s="70"/>
      <c r="D128" s="53" t="s">
        <v>68</v>
      </c>
      <c r="E128" s="309">
        <v>23059</v>
      </c>
      <c r="F128" s="53"/>
      <c r="G128" s="71">
        <f>F128*E128</f>
        <v>0</v>
      </c>
    </row>
    <row r="129" spans="1:14" ht="30" x14ac:dyDescent="0.25">
      <c r="A129" s="49" t="s">
        <v>125</v>
      </c>
      <c r="B129" s="70" t="s">
        <v>126</v>
      </c>
      <c r="C129" s="70"/>
      <c r="D129" s="53" t="s">
        <v>127</v>
      </c>
      <c r="E129" s="299">
        <f>E128/100</f>
        <v>230.59</v>
      </c>
      <c r="F129" s="53"/>
      <c r="G129" s="71">
        <f>F129*E129</f>
        <v>0</v>
      </c>
    </row>
    <row r="130" spans="1:14" x14ac:dyDescent="0.25">
      <c r="A130" s="72"/>
      <c r="B130" s="73" t="s">
        <v>128</v>
      </c>
      <c r="C130" s="73"/>
      <c r="D130" s="74"/>
      <c r="E130" s="302"/>
      <c r="F130" s="74"/>
      <c r="G130" s="75">
        <f>SUM(G128:G129)</f>
        <v>0</v>
      </c>
    </row>
    <row r="131" spans="1:14" x14ac:dyDescent="0.25">
      <c r="A131" s="84"/>
      <c r="B131" s="85"/>
      <c r="C131" s="85"/>
      <c r="D131" s="86"/>
      <c r="E131" s="308"/>
      <c r="F131" s="86"/>
      <c r="G131" s="87"/>
    </row>
    <row r="132" spans="1:14" x14ac:dyDescent="0.25">
      <c r="A132" s="64">
        <v>3.2</v>
      </c>
      <c r="B132" s="65" t="s">
        <v>118</v>
      </c>
      <c r="C132" s="65"/>
      <c r="D132" s="66"/>
      <c r="E132" s="298"/>
      <c r="F132" s="66"/>
      <c r="G132" s="67"/>
    </row>
    <row r="133" spans="1:14" x14ac:dyDescent="0.25">
      <c r="A133" s="39"/>
      <c r="B133" s="46"/>
      <c r="C133" s="46"/>
      <c r="D133" s="47"/>
      <c r="E133" s="292"/>
      <c r="F133" s="47"/>
      <c r="G133" s="68"/>
    </row>
    <row r="134" spans="1:14" x14ac:dyDescent="0.25">
      <c r="A134" s="88" t="s">
        <v>129</v>
      </c>
      <c r="B134" s="70" t="s">
        <v>130</v>
      </c>
      <c r="C134" s="70"/>
      <c r="D134" s="89" t="s">
        <v>68</v>
      </c>
      <c r="E134" s="310">
        <v>834</v>
      </c>
      <c r="F134" s="90"/>
      <c r="G134" s="91">
        <f t="shared" ref="G134" si="3">E134*F134</f>
        <v>0</v>
      </c>
    </row>
    <row r="135" spans="1:14" x14ac:dyDescent="0.25">
      <c r="A135" s="88" t="s">
        <v>131</v>
      </c>
      <c r="B135" s="70" t="s">
        <v>132</v>
      </c>
      <c r="C135" s="70"/>
      <c r="D135" s="89" t="s">
        <v>68</v>
      </c>
      <c r="E135" s="310">
        <v>1654</v>
      </c>
      <c r="F135" s="90"/>
      <c r="G135" s="91">
        <f t="shared" ref="G135:G139" si="4">E135*F135</f>
        <v>0</v>
      </c>
    </row>
    <row r="136" spans="1:14" x14ac:dyDescent="0.25">
      <c r="A136" s="88" t="s">
        <v>133</v>
      </c>
      <c r="B136" s="70" t="s">
        <v>134</v>
      </c>
      <c r="C136" s="70"/>
      <c r="D136" s="89" t="s">
        <v>68</v>
      </c>
      <c r="E136" s="311">
        <v>3308</v>
      </c>
      <c r="F136" s="92"/>
      <c r="G136" s="91">
        <f t="shared" si="4"/>
        <v>0</v>
      </c>
    </row>
    <row r="137" spans="1:14" s="94" customFormat="1" x14ac:dyDescent="0.25">
      <c r="A137" s="88" t="s">
        <v>135</v>
      </c>
      <c r="B137" s="93" t="s">
        <v>136</v>
      </c>
      <c r="C137" s="93"/>
      <c r="D137" s="89" t="s">
        <v>68</v>
      </c>
      <c r="E137" s="311">
        <v>4350</v>
      </c>
      <c r="F137" s="92"/>
      <c r="G137" s="91">
        <f t="shared" si="4"/>
        <v>0</v>
      </c>
    </row>
    <row r="138" spans="1:14" x14ac:dyDescent="0.25">
      <c r="A138" s="88" t="s">
        <v>137</v>
      </c>
      <c r="B138" s="70" t="s">
        <v>138</v>
      </c>
      <c r="C138" s="70"/>
      <c r="D138" s="89" t="s">
        <v>68</v>
      </c>
      <c r="E138" s="311">
        <v>8698</v>
      </c>
      <c r="F138" s="92"/>
      <c r="G138" s="91">
        <f t="shared" si="4"/>
        <v>0</v>
      </c>
    </row>
    <row r="139" spans="1:14" x14ac:dyDescent="0.25">
      <c r="A139" s="88" t="s">
        <v>139</v>
      </c>
      <c r="B139" s="70" t="s">
        <v>140</v>
      </c>
      <c r="C139" s="70"/>
      <c r="D139" s="89" t="s">
        <v>68</v>
      </c>
      <c r="E139" s="311">
        <v>4215</v>
      </c>
      <c r="F139" s="92"/>
      <c r="G139" s="91">
        <f t="shared" si="4"/>
        <v>0</v>
      </c>
    </row>
    <row r="140" spans="1:14" x14ac:dyDescent="0.25">
      <c r="A140" s="88" t="s">
        <v>141</v>
      </c>
      <c r="B140" s="70" t="s">
        <v>142</v>
      </c>
      <c r="C140" s="70"/>
      <c r="D140" s="53" t="s">
        <v>68</v>
      </c>
      <c r="E140" s="299">
        <f>18+24</f>
        <v>42</v>
      </c>
      <c r="F140" s="53"/>
      <c r="G140" s="71">
        <f t="shared" ref="G140:G145" si="5">E140*F140</f>
        <v>0</v>
      </c>
    </row>
    <row r="141" spans="1:14" x14ac:dyDescent="0.25">
      <c r="A141" s="88" t="s">
        <v>143</v>
      </c>
      <c r="B141" s="70" t="s">
        <v>144</v>
      </c>
      <c r="C141" s="70"/>
      <c r="D141" s="53" t="s">
        <v>68</v>
      </c>
      <c r="E141" s="299">
        <v>24</v>
      </c>
      <c r="F141" s="53"/>
      <c r="G141" s="71">
        <f t="shared" si="5"/>
        <v>0</v>
      </c>
    </row>
    <row r="142" spans="1:14" ht="18" x14ac:dyDescent="0.25">
      <c r="A142" s="88" t="s">
        <v>145</v>
      </c>
      <c r="B142" s="70" t="s">
        <v>146</v>
      </c>
      <c r="C142" s="70"/>
      <c r="D142" s="47" t="s">
        <v>61</v>
      </c>
      <c r="E142" s="309">
        <f>0.5*0.5*1.5*6</f>
        <v>2.25</v>
      </c>
      <c r="F142" s="47"/>
      <c r="G142" s="68">
        <f>E142*F142</f>
        <v>0</v>
      </c>
    </row>
    <row r="143" spans="1:14" ht="30" x14ac:dyDescent="0.25">
      <c r="A143" s="88" t="s">
        <v>147</v>
      </c>
      <c r="B143" s="70" t="s">
        <v>148</v>
      </c>
      <c r="C143" s="70"/>
      <c r="D143" s="47" t="s">
        <v>149</v>
      </c>
      <c r="E143" s="309">
        <v>1</v>
      </c>
      <c r="F143" s="47"/>
      <c r="G143" s="68">
        <f>E143*F143</f>
        <v>0</v>
      </c>
    </row>
    <row r="144" spans="1:14" s="78" customFormat="1" x14ac:dyDescent="0.25">
      <c r="A144" s="88" t="s">
        <v>150</v>
      </c>
      <c r="B144" s="54" t="s">
        <v>151</v>
      </c>
      <c r="C144" s="54"/>
      <c r="D144" s="47" t="s">
        <v>68</v>
      </c>
      <c r="E144" s="309">
        <f>+SUM(E134:E139)</f>
        <v>23059</v>
      </c>
      <c r="F144" s="47"/>
      <c r="G144" s="71">
        <f t="shared" si="5"/>
        <v>0</v>
      </c>
      <c r="H144" s="7"/>
      <c r="I144" s="7"/>
      <c r="J144" s="7"/>
      <c r="K144" s="7"/>
      <c r="L144" s="7"/>
      <c r="M144" s="7"/>
      <c r="N144" s="7"/>
    </row>
    <row r="145" spans="1:14" x14ac:dyDescent="0.25">
      <c r="A145" s="88" t="s">
        <v>152</v>
      </c>
      <c r="B145" s="54" t="s">
        <v>153</v>
      </c>
      <c r="C145" s="54"/>
      <c r="D145" s="47" t="s">
        <v>68</v>
      </c>
      <c r="E145" s="309">
        <f>E144</f>
        <v>23059</v>
      </c>
      <c r="F145" s="47"/>
      <c r="G145" s="71">
        <f t="shared" si="5"/>
        <v>0</v>
      </c>
    </row>
    <row r="146" spans="1:14" x14ac:dyDescent="0.25">
      <c r="A146" s="79"/>
      <c r="B146" s="65" t="s">
        <v>154</v>
      </c>
      <c r="C146" s="65"/>
      <c r="D146" s="66"/>
      <c r="E146" s="298"/>
      <c r="F146" s="66"/>
      <c r="G146" s="67">
        <f>SUM(G134:G145)</f>
        <v>0</v>
      </c>
    </row>
    <row r="147" spans="1:14" x14ac:dyDescent="0.25">
      <c r="A147" s="55"/>
      <c r="B147" s="56" t="s">
        <v>155</v>
      </c>
      <c r="C147" s="56"/>
      <c r="D147" s="57"/>
      <c r="E147" s="296"/>
      <c r="F147" s="57"/>
      <c r="G147" s="58">
        <f>G146+G130</f>
        <v>0</v>
      </c>
    </row>
    <row r="148" spans="1:14" x14ac:dyDescent="0.25">
      <c r="A148" s="49"/>
      <c r="B148" s="54"/>
      <c r="C148" s="54"/>
      <c r="D148" s="47"/>
      <c r="E148" s="292"/>
      <c r="F148" s="47"/>
      <c r="G148" s="68"/>
    </row>
    <row r="149" spans="1:14" s="95" customFormat="1" ht="15.75" x14ac:dyDescent="0.25">
      <c r="A149" s="39">
        <v>4</v>
      </c>
      <c r="B149" s="46" t="s">
        <v>156</v>
      </c>
      <c r="C149" s="46"/>
      <c r="D149" s="47"/>
      <c r="E149" s="292"/>
      <c r="F149" s="47"/>
      <c r="G149" s="48"/>
      <c r="H149" s="7"/>
      <c r="I149" s="7"/>
      <c r="J149" s="7"/>
      <c r="K149" s="7"/>
      <c r="L149" s="7"/>
      <c r="M149" s="7"/>
      <c r="N149" s="7"/>
    </row>
    <row r="150" spans="1:14" s="95" customFormat="1" ht="15.75" x14ac:dyDescent="0.25">
      <c r="A150" s="64">
        <v>4.0999999999999996</v>
      </c>
      <c r="B150" s="65" t="s">
        <v>157</v>
      </c>
      <c r="C150" s="65"/>
      <c r="D150" s="66"/>
      <c r="E150" s="298"/>
      <c r="F150" s="66"/>
      <c r="G150" s="67"/>
      <c r="H150" s="7"/>
      <c r="I150" s="7"/>
      <c r="J150" s="7"/>
      <c r="K150" s="7"/>
      <c r="L150" s="7"/>
      <c r="M150" s="7"/>
      <c r="N150" s="7"/>
    </row>
    <row r="151" spans="1:14" s="95" customFormat="1" ht="18" x14ac:dyDescent="0.25">
      <c r="A151" s="69" t="s">
        <v>158</v>
      </c>
      <c r="B151" s="70" t="s">
        <v>159</v>
      </c>
      <c r="C151" s="70"/>
      <c r="D151" s="53" t="s">
        <v>61</v>
      </c>
      <c r="E151" s="299">
        <f xml:space="preserve"> (1+2)*(1+2)*1*1.05</f>
        <v>9.4500000000000011</v>
      </c>
      <c r="F151" s="53"/>
      <c r="G151" s="71">
        <f t="shared" ref="G151:G161" si="6">E151*F151</f>
        <v>0</v>
      </c>
      <c r="H151" s="7"/>
      <c r="I151" s="7"/>
      <c r="J151" s="7"/>
      <c r="K151" s="7"/>
      <c r="L151" s="7"/>
      <c r="M151" s="7"/>
      <c r="N151" s="7"/>
    </row>
    <row r="152" spans="1:14" s="95" customFormat="1" ht="18" x14ac:dyDescent="0.25">
      <c r="A152" s="69" t="s">
        <v>160</v>
      </c>
      <c r="B152" s="70" t="s">
        <v>161</v>
      </c>
      <c r="C152" s="70"/>
      <c r="D152" s="53" t="s">
        <v>61</v>
      </c>
      <c r="E152" s="299">
        <f xml:space="preserve"> (2)*(2)*0.3*1.05</f>
        <v>1.26</v>
      </c>
      <c r="F152" s="53"/>
      <c r="G152" s="71">
        <f t="shared" si="6"/>
        <v>0</v>
      </c>
      <c r="H152" s="7"/>
      <c r="I152" s="7"/>
      <c r="J152" s="7"/>
      <c r="K152" s="7"/>
      <c r="L152" s="7"/>
      <c r="M152" s="7"/>
      <c r="N152" s="7"/>
    </row>
    <row r="153" spans="1:14" s="95" customFormat="1" ht="18" x14ac:dyDescent="0.25">
      <c r="A153" s="69" t="s">
        <v>162</v>
      </c>
      <c r="B153" s="70" t="s">
        <v>163</v>
      </c>
      <c r="C153" s="70"/>
      <c r="D153" s="53" t="s">
        <v>61</v>
      </c>
      <c r="E153" s="299">
        <f xml:space="preserve"> (2)*(2)*0.05*1.05</f>
        <v>0.21000000000000002</v>
      </c>
      <c r="F153" s="53"/>
      <c r="G153" s="71">
        <f t="shared" si="6"/>
        <v>0</v>
      </c>
      <c r="H153" s="7"/>
      <c r="I153" s="7"/>
      <c r="J153" s="7"/>
      <c r="K153" s="7"/>
      <c r="L153" s="7"/>
      <c r="M153" s="7"/>
      <c r="N153" s="7"/>
    </row>
    <row r="154" spans="1:14" s="78" customFormat="1" ht="18" x14ac:dyDescent="0.25">
      <c r="A154" s="69" t="s">
        <v>164</v>
      </c>
      <c r="B154" s="70" t="s">
        <v>165</v>
      </c>
      <c r="C154" s="70"/>
      <c r="D154" s="53" t="s">
        <v>61</v>
      </c>
      <c r="E154" s="299">
        <f xml:space="preserve"> (1.8)*(1.8)*0.15*1.05</f>
        <v>0.51029999999999998</v>
      </c>
      <c r="F154" s="53"/>
      <c r="G154" s="71">
        <f t="shared" si="6"/>
        <v>0</v>
      </c>
      <c r="H154" s="7"/>
      <c r="I154" s="7"/>
      <c r="J154" s="7"/>
      <c r="K154" s="7"/>
      <c r="L154" s="7"/>
      <c r="M154" s="7"/>
      <c r="N154" s="7"/>
    </row>
    <row r="155" spans="1:14" s="78" customFormat="1" ht="18" x14ac:dyDescent="0.25">
      <c r="A155" s="69" t="s">
        <v>166</v>
      </c>
      <c r="B155" s="70" t="s">
        <v>167</v>
      </c>
      <c r="C155" s="70"/>
      <c r="D155" s="53" t="s">
        <v>61</v>
      </c>
      <c r="E155" s="299">
        <f xml:space="preserve"> ((1.8)*(1.8)*0.15  -  (0.6*0.6)*0.15)*1.05</f>
        <v>0.4536</v>
      </c>
      <c r="F155" s="53"/>
      <c r="G155" s="71">
        <f t="shared" si="6"/>
        <v>0</v>
      </c>
      <c r="H155" s="7"/>
      <c r="I155" s="7"/>
      <c r="J155" s="7"/>
      <c r="K155" s="7"/>
      <c r="L155" s="7"/>
      <c r="M155" s="7"/>
      <c r="N155" s="7"/>
    </row>
    <row r="156" spans="1:14" s="78" customFormat="1" ht="18" x14ac:dyDescent="0.25">
      <c r="A156" s="69" t="s">
        <v>168</v>
      </c>
      <c r="B156" s="70" t="s">
        <v>169</v>
      </c>
      <c r="C156" s="70"/>
      <c r="D156" s="53" t="s">
        <v>61</v>
      </c>
      <c r="E156" s="299">
        <f xml:space="preserve"> 0.2*(2*(1.4+1.4)*1.2)*1.05</f>
        <v>1.4112000000000002</v>
      </c>
      <c r="F156" s="53"/>
      <c r="G156" s="71">
        <f t="shared" si="6"/>
        <v>0</v>
      </c>
      <c r="H156" s="7"/>
      <c r="I156" s="7"/>
      <c r="J156" s="7"/>
      <c r="K156" s="7"/>
      <c r="L156" s="7"/>
      <c r="M156" s="7"/>
      <c r="N156" s="7"/>
    </row>
    <row r="157" spans="1:14" s="78" customFormat="1" ht="18" x14ac:dyDescent="0.25">
      <c r="A157" s="69" t="s">
        <v>170</v>
      </c>
      <c r="B157" s="70" t="s">
        <v>171</v>
      </c>
      <c r="C157" s="70"/>
      <c r="D157" s="53" t="s">
        <v>172</v>
      </c>
      <c r="E157" s="299">
        <f>2*(1.2+1.2)*1.2*1.05</f>
        <v>6.048</v>
      </c>
      <c r="F157" s="53"/>
      <c r="G157" s="71">
        <f t="shared" si="6"/>
        <v>0</v>
      </c>
      <c r="H157" s="7"/>
      <c r="I157" s="7"/>
      <c r="J157" s="7"/>
      <c r="K157" s="7"/>
      <c r="L157" s="7"/>
      <c r="M157" s="7"/>
      <c r="N157" s="7"/>
    </row>
    <row r="158" spans="1:14" ht="18" x14ac:dyDescent="0.25">
      <c r="A158" s="69" t="s">
        <v>173</v>
      </c>
      <c r="B158" s="70" t="s">
        <v>174</v>
      </c>
      <c r="C158" s="70"/>
      <c r="D158" s="53" t="s">
        <v>172</v>
      </c>
      <c r="E158" s="299">
        <f>((1.8)*(1.8)   -  (0.6*0.6))*1.05</f>
        <v>3.0240000000000005</v>
      </c>
      <c r="F158" s="53"/>
      <c r="G158" s="71">
        <f t="shared" si="6"/>
        <v>0</v>
      </c>
    </row>
    <row r="159" spans="1:14" ht="18" x14ac:dyDescent="0.25">
      <c r="A159" s="69" t="s">
        <v>175</v>
      </c>
      <c r="B159" s="70" t="s">
        <v>176</v>
      </c>
      <c r="C159" s="70"/>
      <c r="D159" s="53" t="s">
        <v>172</v>
      </c>
      <c r="E159" s="299">
        <f>2*(1.6+1.6)*0.2*1.05</f>
        <v>1.3440000000000003</v>
      </c>
      <c r="F159" s="53"/>
      <c r="G159" s="71">
        <f t="shared" si="6"/>
        <v>0</v>
      </c>
    </row>
    <row r="160" spans="1:14" ht="30" x14ac:dyDescent="0.25">
      <c r="A160" s="69" t="s">
        <v>177</v>
      </c>
      <c r="B160" s="70" t="s">
        <v>178</v>
      </c>
      <c r="C160" s="70"/>
      <c r="D160" s="53" t="s">
        <v>179</v>
      </c>
      <c r="E160" s="299">
        <v>1</v>
      </c>
      <c r="F160" s="53"/>
      <c r="G160" s="71">
        <f t="shared" si="6"/>
        <v>0</v>
      </c>
    </row>
    <row r="161" spans="1:7" ht="30" x14ac:dyDescent="0.25">
      <c r="A161" s="69" t="s">
        <v>180</v>
      </c>
      <c r="B161" s="70" t="s">
        <v>181</v>
      </c>
      <c r="C161" s="70"/>
      <c r="D161" s="53" t="s">
        <v>179</v>
      </c>
      <c r="E161" s="299">
        <v>1</v>
      </c>
      <c r="F161" s="53"/>
      <c r="G161" s="71">
        <f t="shared" si="6"/>
        <v>0</v>
      </c>
    </row>
    <row r="162" spans="1:7" x14ac:dyDescent="0.25">
      <c r="A162" s="69" t="s">
        <v>182</v>
      </c>
      <c r="B162" s="70" t="s">
        <v>183</v>
      </c>
      <c r="C162" s="70"/>
      <c r="D162" s="53" t="s">
        <v>49</v>
      </c>
      <c r="E162" s="299">
        <v>1</v>
      </c>
      <c r="F162" s="53"/>
      <c r="G162" s="71">
        <f>F162*E162</f>
        <v>0</v>
      </c>
    </row>
    <row r="163" spans="1:7" x14ac:dyDescent="0.25">
      <c r="A163" s="79"/>
      <c r="B163" s="65" t="s">
        <v>184</v>
      </c>
      <c r="C163" s="65"/>
      <c r="D163" s="66"/>
      <c r="E163" s="298"/>
      <c r="F163" s="66"/>
      <c r="G163" s="67">
        <f>SUM(G151:G162)</f>
        <v>0</v>
      </c>
    </row>
    <row r="164" spans="1:7" x14ac:dyDescent="0.25">
      <c r="A164" s="72"/>
      <c r="B164" s="73" t="s">
        <v>185</v>
      </c>
      <c r="C164" s="73"/>
      <c r="D164" s="74"/>
      <c r="E164" s="300">
        <v>5</v>
      </c>
      <c r="F164" s="74"/>
      <c r="G164" s="75">
        <f>G163*E164</f>
        <v>0</v>
      </c>
    </row>
    <row r="165" spans="1:7" x14ac:dyDescent="0.25">
      <c r="A165" s="39"/>
      <c r="B165" s="40"/>
      <c r="C165" s="40"/>
      <c r="D165" s="47"/>
      <c r="E165" s="292"/>
      <c r="F165" s="47"/>
      <c r="G165" s="68"/>
    </row>
    <row r="166" spans="1:7" x14ac:dyDescent="0.25">
      <c r="A166" s="64">
        <v>4.2</v>
      </c>
      <c r="B166" s="65" t="s">
        <v>186</v>
      </c>
      <c r="C166" s="65"/>
      <c r="D166" s="66"/>
      <c r="E166" s="298"/>
      <c r="F166" s="66"/>
      <c r="G166" s="67"/>
    </row>
    <row r="167" spans="1:7" ht="18" x14ac:dyDescent="0.25">
      <c r="A167" s="69" t="s">
        <v>187</v>
      </c>
      <c r="B167" s="70" t="s">
        <v>159</v>
      </c>
      <c r="C167" s="70"/>
      <c r="D167" s="53" t="s">
        <v>61</v>
      </c>
      <c r="E167" s="299">
        <f xml:space="preserve"> (1+2)*(1+2)*1*1.05</f>
        <v>9.4500000000000011</v>
      </c>
      <c r="F167" s="53"/>
      <c r="G167" s="71">
        <f t="shared" ref="G167:G177" si="7">E167*F167</f>
        <v>0</v>
      </c>
    </row>
    <row r="168" spans="1:7" ht="18" x14ac:dyDescent="0.25">
      <c r="A168" s="69" t="s">
        <v>188</v>
      </c>
      <c r="B168" s="70" t="s">
        <v>161</v>
      </c>
      <c r="C168" s="70"/>
      <c r="D168" s="53" t="s">
        <v>61</v>
      </c>
      <c r="E168" s="299">
        <f xml:space="preserve"> (2)*(2)*0.3*1.05</f>
        <v>1.26</v>
      </c>
      <c r="F168" s="53"/>
      <c r="G168" s="71">
        <f t="shared" si="7"/>
        <v>0</v>
      </c>
    </row>
    <row r="169" spans="1:7" ht="18" x14ac:dyDescent="0.25">
      <c r="A169" s="69" t="s">
        <v>189</v>
      </c>
      <c r="B169" s="70" t="s">
        <v>163</v>
      </c>
      <c r="C169" s="70"/>
      <c r="D169" s="53" t="s">
        <v>61</v>
      </c>
      <c r="E169" s="299">
        <f xml:space="preserve"> (2)*(2)*0.05*1.05</f>
        <v>0.21000000000000002</v>
      </c>
      <c r="F169" s="53"/>
      <c r="G169" s="71">
        <f t="shared" si="7"/>
        <v>0</v>
      </c>
    </row>
    <row r="170" spans="1:7" ht="18" x14ac:dyDescent="0.25">
      <c r="A170" s="69" t="s">
        <v>190</v>
      </c>
      <c r="B170" s="70" t="s">
        <v>165</v>
      </c>
      <c r="C170" s="70"/>
      <c r="D170" s="53" t="s">
        <v>61</v>
      </c>
      <c r="E170" s="299">
        <f xml:space="preserve"> (1.8)*(1.8)*0.15*1.05</f>
        <v>0.51029999999999998</v>
      </c>
      <c r="F170" s="53"/>
      <c r="G170" s="71">
        <f t="shared" si="7"/>
        <v>0</v>
      </c>
    </row>
    <row r="171" spans="1:7" ht="18" x14ac:dyDescent="0.25">
      <c r="A171" s="69" t="s">
        <v>191</v>
      </c>
      <c r="B171" s="70" t="s">
        <v>167</v>
      </c>
      <c r="C171" s="70"/>
      <c r="D171" s="53" t="s">
        <v>61</v>
      </c>
      <c r="E171" s="299">
        <f xml:space="preserve"> ((1.8)*(1.8)*0.15  -  (0.6*0.6)*0.15)*1.05</f>
        <v>0.4536</v>
      </c>
      <c r="F171" s="53"/>
      <c r="G171" s="71">
        <f t="shared" si="7"/>
        <v>0</v>
      </c>
    </row>
    <row r="172" spans="1:7" ht="18" x14ac:dyDescent="0.25">
      <c r="A172" s="69" t="s">
        <v>192</v>
      </c>
      <c r="B172" s="70" t="s">
        <v>193</v>
      </c>
      <c r="C172" s="70"/>
      <c r="D172" s="53" t="s">
        <v>61</v>
      </c>
      <c r="E172" s="299">
        <f xml:space="preserve"> 0.2*(2*(1.4+1.4)*1.2)*1.05</f>
        <v>1.4112000000000002</v>
      </c>
      <c r="F172" s="53"/>
      <c r="G172" s="71">
        <f t="shared" si="7"/>
        <v>0</v>
      </c>
    </row>
    <row r="173" spans="1:7" ht="18" x14ac:dyDescent="0.25">
      <c r="A173" s="69" t="s">
        <v>194</v>
      </c>
      <c r="B173" s="70" t="s">
        <v>171</v>
      </c>
      <c r="C173" s="70"/>
      <c r="D173" s="53" t="s">
        <v>172</v>
      </c>
      <c r="E173" s="299">
        <f>2*(1.2+1.2)*1.2*1.05</f>
        <v>6.048</v>
      </c>
      <c r="F173" s="53"/>
      <c r="G173" s="71">
        <f t="shared" si="7"/>
        <v>0</v>
      </c>
    </row>
    <row r="174" spans="1:7" ht="18" x14ac:dyDescent="0.25">
      <c r="A174" s="69" t="s">
        <v>195</v>
      </c>
      <c r="B174" s="70" t="s">
        <v>174</v>
      </c>
      <c r="C174" s="70"/>
      <c r="D174" s="53" t="s">
        <v>172</v>
      </c>
      <c r="E174" s="299">
        <f>((1.8)*(1.8)   -  (0.6*0.6))*1.05</f>
        <v>3.0240000000000005</v>
      </c>
      <c r="F174" s="53"/>
      <c r="G174" s="71">
        <f t="shared" si="7"/>
        <v>0</v>
      </c>
    </row>
    <row r="175" spans="1:7" ht="18" x14ac:dyDescent="0.25">
      <c r="A175" s="69" t="s">
        <v>196</v>
      </c>
      <c r="B175" s="70" t="s">
        <v>176</v>
      </c>
      <c r="C175" s="70"/>
      <c r="D175" s="53" t="s">
        <v>172</v>
      </c>
      <c r="E175" s="299">
        <f>2*(1.6+1.6)*0.2*1.05</f>
        <v>1.3440000000000003</v>
      </c>
      <c r="F175" s="53"/>
      <c r="G175" s="71">
        <f t="shared" si="7"/>
        <v>0</v>
      </c>
    </row>
    <row r="176" spans="1:7" ht="30" x14ac:dyDescent="0.25">
      <c r="A176" s="69" t="s">
        <v>197</v>
      </c>
      <c r="B176" s="70" t="s">
        <v>178</v>
      </c>
      <c r="C176" s="70"/>
      <c r="D176" s="53" t="s">
        <v>179</v>
      </c>
      <c r="E176" s="299">
        <v>1</v>
      </c>
      <c r="F176" s="53"/>
      <c r="G176" s="71">
        <f t="shared" si="7"/>
        <v>0</v>
      </c>
    </row>
    <row r="177" spans="1:116" ht="30" x14ac:dyDescent="0.25">
      <c r="A177" s="69" t="s">
        <v>198</v>
      </c>
      <c r="B177" s="70" t="s">
        <v>181</v>
      </c>
      <c r="C177" s="70"/>
      <c r="D177" s="53" t="s">
        <v>179</v>
      </c>
      <c r="E177" s="299">
        <v>1</v>
      </c>
      <c r="F177" s="53"/>
      <c r="G177" s="71">
        <f t="shared" si="7"/>
        <v>0</v>
      </c>
    </row>
    <row r="178" spans="1:116" x14ac:dyDescent="0.25">
      <c r="A178" s="69" t="s">
        <v>199</v>
      </c>
      <c r="B178" s="70" t="s">
        <v>200</v>
      </c>
      <c r="C178" s="70"/>
      <c r="D178" s="53" t="s">
        <v>49</v>
      </c>
      <c r="E178" s="299">
        <v>1</v>
      </c>
      <c r="F178" s="53"/>
      <c r="G178" s="71">
        <f>F178*E178</f>
        <v>0</v>
      </c>
    </row>
    <row r="179" spans="1:116" x14ac:dyDescent="0.25">
      <c r="A179" s="69" t="s">
        <v>201</v>
      </c>
      <c r="B179" s="70" t="s">
        <v>202</v>
      </c>
      <c r="C179" s="70"/>
      <c r="D179" s="96" t="s">
        <v>51</v>
      </c>
      <c r="E179" s="312">
        <v>1</v>
      </c>
      <c r="F179" s="97"/>
      <c r="G179" s="71">
        <f>F179*E179</f>
        <v>0</v>
      </c>
    </row>
    <row r="180" spans="1:116" x14ac:dyDescent="0.25">
      <c r="A180" s="79"/>
      <c r="B180" s="65" t="s">
        <v>184</v>
      </c>
      <c r="C180" s="65"/>
      <c r="D180" s="66"/>
      <c r="E180" s="298"/>
      <c r="F180" s="66"/>
      <c r="G180" s="67">
        <f>SUM(G167:G179)</f>
        <v>0</v>
      </c>
    </row>
    <row r="181" spans="1:116" x14ac:dyDescent="0.25">
      <c r="A181" s="72"/>
      <c r="B181" s="73" t="s">
        <v>203</v>
      </c>
      <c r="C181" s="73"/>
      <c r="D181" s="74"/>
      <c r="E181" s="300">
        <v>6</v>
      </c>
      <c r="F181" s="74"/>
      <c r="G181" s="75">
        <f>G180*E181</f>
        <v>0</v>
      </c>
    </row>
    <row r="182" spans="1:116" x14ac:dyDescent="0.25">
      <c r="A182" s="49"/>
      <c r="B182" s="54"/>
      <c r="C182" s="54"/>
      <c r="D182" s="47"/>
      <c r="E182" s="292"/>
      <c r="F182" s="47"/>
      <c r="G182" s="68"/>
    </row>
    <row r="183" spans="1:116" x14ac:dyDescent="0.25">
      <c r="A183" s="64">
        <v>4.3</v>
      </c>
      <c r="B183" s="65" t="s">
        <v>204</v>
      </c>
      <c r="C183" s="65"/>
      <c r="D183" s="66"/>
      <c r="E183" s="298"/>
      <c r="F183" s="66"/>
      <c r="G183" s="98"/>
    </row>
    <row r="184" spans="1:116" ht="18" x14ac:dyDescent="0.25">
      <c r="A184" s="69" t="s">
        <v>205</v>
      </c>
      <c r="B184" s="70" t="s">
        <v>206</v>
      </c>
      <c r="C184" s="70"/>
      <c r="D184" s="53" t="s">
        <v>61</v>
      </c>
      <c r="E184" s="299">
        <f>(4*3.1*1)*1.05</f>
        <v>13.020000000000001</v>
      </c>
      <c r="F184" s="53"/>
      <c r="G184" s="71">
        <f t="shared" ref="G184:G196" si="8">E184*F184</f>
        <v>0</v>
      </c>
    </row>
    <row r="185" spans="1:116" ht="30" x14ac:dyDescent="0.25">
      <c r="A185" s="69" t="s">
        <v>207</v>
      </c>
      <c r="B185" s="70" t="s">
        <v>208</v>
      </c>
      <c r="C185" s="70"/>
      <c r="D185" s="53" t="s">
        <v>61</v>
      </c>
      <c r="E185" s="299">
        <f>((3.5*0.3*2.6)-(0.2*0.2*0.5))*1.05</f>
        <v>2.8455000000000004</v>
      </c>
      <c r="F185" s="53"/>
      <c r="G185" s="71">
        <f t="shared" si="8"/>
        <v>0</v>
      </c>
    </row>
    <row r="186" spans="1:116" ht="18" x14ac:dyDescent="0.25">
      <c r="A186" s="69" t="s">
        <v>209</v>
      </c>
      <c r="B186" s="70" t="s">
        <v>210</v>
      </c>
      <c r="C186" s="70"/>
      <c r="D186" s="53" t="s">
        <v>61</v>
      </c>
      <c r="E186" s="299">
        <f>(3.5*0.05*2.6)*1.05</f>
        <v>0.47775000000000012</v>
      </c>
      <c r="F186" s="53"/>
      <c r="G186" s="71">
        <f t="shared" si="8"/>
        <v>0</v>
      </c>
    </row>
    <row r="187" spans="1:116" ht="18" x14ac:dyDescent="0.25">
      <c r="A187" s="69" t="s">
        <v>211</v>
      </c>
      <c r="B187" s="70" t="s">
        <v>212</v>
      </c>
      <c r="C187" s="70"/>
      <c r="D187" s="53" t="s">
        <v>61</v>
      </c>
      <c r="E187" s="299">
        <f>((3.3*0.15*2.4)-(0.2*0.2*0.3))*1.05</f>
        <v>1.2347999999999997</v>
      </c>
      <c r="F187" s="53"/>
      <c r="G187" s="71">
        <f t="shared" si="8"/>
        <v>0</v>
      </c>
    </row>
    <row r="188" spans="1:116" ht="18" x14ac:dyDescent="0.25">
      <c r="A188" s="69" t="s">
        <v>213</v>
      </c>
      <c r="B188" s="70" t="s">
        <v>214</v>
      </c>
      <c r="C188" s="70"/>
      <c r="D188" s="53" t="s">
        <v>61</v>
      </c>
      <c r="E188" s="299">
        <f>((3.4*2.7*0.15)-(0.6*0.6*0.15))*1.05</f>
        <v>1.3891500000000001</v>
      </c>
      <c r="F188" s="53"/>
      <c r="G188" s="71">
        <f t="shared" si="8"/>
        <v>0</v>
      </c>
    </row>
    <row r="189" spans="1:116" ht="18" x14ac:dyDescent="0.25">
      <c r="A189" s="69" t="s">
        <v>215</v>
      </c>
      <c r="B189" s="70" t="s">
        <v>216</v>
      </c>
      <c r="C189" s="70"/>
      <c r="D189" s="53" t="s">
        <v>61</v>
      </c>
      <c r="E189" s="299">
        <f>(3.1*1.2*0.3*2+1.8*1.2*0.3*2+1.8*0.3*0.8+0.8*0.8*0.3)*1.05</f>
        <v>4.3595999999999995</v>
      </c>
      <c r="F189" s="53"/>
      <c r="G189" s="71">
        <f t="shared" si="8"/>
        <v>0</v>
      </c>
    </row>
    <row r="190" spans="1:116" ht="18" x14ac:dyDescent="0.25">
      <c r="A190" s="69" t="s">
        <v>217</v>
      </c>
      <c r="B190" s="70" t="s">
        <v>218</v>
      </c>
      <c r="C190" s="70"/>
      <c r="D190" s="53" t="s">
        <v>172</v>
      </c>
      <c r="E190" s="299">
        <f>((1.5*2*1.2)+(1.8*2*1.2)+(1.2*0.8*4)+(0.8*0.8*4))*1.05</f>
        <v>15.036000000000001</v>
      </c>
      <c r="F190" s="53"/>
      <c r="G190" s="71">
        <f t="shared" si="8"/>
        <v>0</v>
      </c>
      <c r="H190" s="78"/>
      <c r="I190" s="78"/>
      <c r="J190" s="78"/>
      <c r="K190" s="78"/>
      <c r="L190" s="78"/>
      <c r="M190" s="78"/>
      <c r="N190" s="78"/>
      <c r="O190" s="78"/>
      <c r="P190" s="78"/>
      <c r="Q190" s="78"/>
      <c r="R190" s="78"/>
      <c r="S190" s="78"/>
      <c r="T190" s="78"/>
      <c r="U190" s="78"/>
      <c r="V190" s="78"/>
      <c r="W190" s="78"/>
      <c r="X190" s="78"/>
      <c r="Y190" s="78"/>
      <c r="Z190" s="78"/>
      <c r="AA190" s="78"/>
      <c r="AB190" s="78"/>
      <c r="AC190" s="78"/>
      <c r="AD190" s="78"/>
      <c r="AE190" s="78"/>
      <c r="AF190" s="78"/>
      <c r="AG190" s="78"/>
      <c r="AH190" s="78"/>
      <c r="AI190" s="78"/>
      <c r="AJ190" s="78"/>
      <c r="AK190" s="78"/>
      <c r="AL190" s="78"/>
      <c r="AM190" s="78"/>
      <c r="AN190" s="78"/>
      <c r="AO190" s="78"/>
      <c r="AP190" s="78"/>
      <c r="AQ190" s="78"/>
      <c r="AR190" s="78"/>
      <c r="AS190" s="78"/>
      <c r="AT190" s="78"/>
      <c r="AU190" s="78"/>
      <c r="AV190" s="78"/>
      <c r="AW190" s="78"/>
      <c r="AX190" s="78"/>
      <c r="AY190" s="78"/>
      <c r="AZ190" s="78"/>
      <c r="BA190" s="78"/>
      <c r="BB190" s="78"/>
      <c r="BC190" s="78"/>
      <c r="BD190" s="78"/>
      <c r="BE190" s="78"/>
      <c r="BF190" s="78"/>
      <c r="BG190" s="78"/>
      <c r="BH190" s="78"/>
      <c r="BI190" s="78"/>
      <c r="BJ190" s="78"/>
      <c r="BK190" s="78"/>
      <c r="BL190" s="78"/>
      <c r="BM190" s="78"/>
      <c r="BN190" s="78"/>
      <c r="BO190" s="78"/>
      <c r="BP190" s="78"/>
      <c r="BQ190" s="78"/>
      <c r="BR190" s="78"/>
      <c r="BS190" s="78"/>
      <c r="BT190" s="78"/>
      <c r="BU190" s="78"/>
      <c r="BV190" s="78"/>
      <c r="BW190" s="78"/>
      <c r="BX190" s="78"/>
      <c r="BY190" s="78"/>
      <c r="BZ190" s="78"/>
      <c r="CA190" s="78"/>
      <c r="CB190" s="78"/>
      <c r="CC190" s="78"/>
      <c r="CD190" s="78"/>
      <c r="CE190" s="78"/>
      <c r="CF190" s="78"/>
      <c r="CG190" s="78"/>
      <c r="CH190" s="78"/>
      <c r="CI190" s="78"/>
      <c r="CJ190" s="78"/>
      <c r="CK190" s="78"/>
      <c r="CL190" s="78"/>
      <c r="CM190" s="78"/>
      <c r="CN190" s="78"/>
      <c r="CO190" s="78"/>
      <c r="CP190" s="78"/>
      <c r="CQ190" s="78"/>
      <c r="CR190" s="78"/>
      <c r="CS190" s="78"/>
      <c r="CT190" s="78"/>
      <c r="CU190" s="78"/>
      <c r="CV190" s="78"/>
      <c r="CW190" s="78"/>
      <c r="CX190" s="78"/>
      <c r="CY190" s="78"/>
      <c r="CZ190" s="78"/>
      <c r="DA190" s="78"/>
      <c r="DB190" s="78"/>
      <c r="DC190" s="78"/>
      <c r="DD190" s="78"/>
      <c r="DE190" s="78"/>
      <c r="DF190" s="78"/>
      <c r="DG190" s="78"/>
      <c r="DH190" s="78"/>
      <c r="DI190" s="78"/>
      <c r="DJ190" s="78"/>
      <c r="DK190" s="78"/>
      <c r="DL190" s="78"/>
    </row>
    <row r="191" spans="1:116" ht="18" x14ac:dyDescent="0.25">
      <c r="A191" s="69" t="s">
        <v>219</v>
      </c>
      <c r="B191" s="70" t="s">
        <v>220</v>
      </c>
      <c r="C191" s="70"/>
      <c r="D191" s="53" t="s">
        <v>172</v>
      </c>
      <c r="E191" s="299">
        <f>E190</f>
        <v>15.036000000000001</v>
      </c>
      <c r="F191" s="53"/>
      <c r="G191" s="71">
        <f t="shared" si="8"/>
        <v>0</v>
      </c>
    </row>
    <row r="192" spans="1:116" ht="18" x14ac:dyDescent="0.25">
      <c r="A192" s="69" t="s">
        <v>221</v>
      </c>
      <c r="B192" s="70" t="s">
        <v>222</v>
      </c>
      <c r="C192" s="70"/>
      <c r="D192" s="53" t="s">
        <v>172</v>
      </c>
      <c r="E192" s="299">
        <f>E191</f>
        <v>15.036000000000001</v>
      </c>
      <c r="F192" s="53"/>
      <c r="G192" s="71">
        <f t="shared" si="8"/>
        <v>0</v>
      </c>
    </row>
    <row r="193" spans="1:7" ht="18" x14ac:dyDescent="0.25">
      <c r="A193" s="69" t="s">
        <v>223</v>
      </c>
      <c r="B193" s="70" t="s">
        <v>224</v>
      </c>
      <c r="C193" s="70"/>
      <c r="D193" s="53" t="s">
        <v>172</v>
      </c>
      <c r="E193" s="299">
        <f>((3.4*2.7)-(0.6*0.6))*1.05</f>
        <v>9.261000000000001</v>
      </c>
      <c r="F193" s="53"/>
      <c r="G193" s="71">
        <f t="shared" si="8"/>
        <v>0</v>
      </c>
    </row>
    <row r="194" spans="1:7" ht="18" x14ac:dyDescent="0.25">
      <c r="A194" s="69" t="s">
        <v>225</v>
      </c>
      <c r="B194" s="70" t="s">
        <v>176</v>
      </c>
      <c r="C194" s="70"/>
      <c r="D194" s="53" t="s">
        <v>172</v>
      </c>
      <c r="E194" s="299">
        <f>((3.1*0.3*2)+(1.8*0.3*2))*1.05</f>
        <v>3.0870000000000002</v>
      </c>
      <c r="F194" s="53"/>
      <c r="G194" s="71">
        <f t="shared" si="8"/>
        <v>0</v>
      </c>
    </row>
    <row r="195" spans="1:7" ht="30" x14ac:dyDescent="0.25">
      <c r="A195" s="69" t="s">
        <v>226</v>
      </c>
      <c r="B195" s="70" t="s">
        <v>227</v>
      </c>
      <c r="C195" s="70"/>
      <c r="D195" s="53" t="s">
        <v>179</v>
      </c>
      <c r="E195" s="299">
        <v>2</v>
      </c>
      <c r="F195" s="53"/>
      <c r="G195" s="71">
        <f t="shared" si="8"/>
        <v>0</v>
      </c>
    </row>
    <row r="196" spans="1:7" ht="30" x14ac:dyDescent="0.25">
      <c r="A196" s="69" t="s">
        <v>228</v>
      </c>
      <c r="B196" s="70" t="s">
        <v>229</v>
      </c>
      <c r="C196" s="70"/>
      <c r="D196" s="53" t="s">
        <v>179</v>
      </c>
      <c r="E196" s="299">
        <v>1</v>
      </c>
      <c r="F196" s="53"/>
      <c r="G196" s="71">
        <f t="shared" si="8"/>
        <v>0</v>
      </c>
    </row>
    <row r="197" spans="1:7" x14ac:dyDescent="0.25">
      <c r="A197" s="69" t="s">
        <v>230</v>
      </c>
      <c r="B197" s="70" t="s">
        <v>231</v>
      </c>
      <c r="C197" s="70"/>
      <c r="D197" s="53" t="s">
        <v>49</v>
      </c>
      <c r="E197" s="299">
        <v>1</v>
      </c>
      <c r="F197" s="53"/>
      <c r="G197" s="71">
        <f>F197*E197</f>
        <v>0</v>
      </c>
    </row>
    <row r="198" spans="1:7" x14ac:dyDescent="0.25">
      <c r="A198" s="69" t="s">
        <v>232</v>
      </c>
      <c r="B198" s="70" t="s">
        <v>202</v>
      </c>
      <c r="C198" s="70"/>
      <c r="D198" s="96" t="s">
        <v>51</v>
      </c>
      <c r="E198" s="312">
        <v>1</v>
      </c>
      <c r="F198" s="97"/>
      <c r="G198" s="71">
        <f>F198*E198</f>
        <v>0</v>
      </c>
    </row>
    <row r="199" spans="1:7" x14ac:dyDescent="0.25">
      <c r="A199" s="69"/>
      <c r="B199" s="76" t="s">
        <v>184</v>
      </c>
      <c r="C199" s="76"/>
      <c r="D199" s="53"/>
      <c r="E199" s="301"/>
      <c r="F199" s="53"/>
      <c r="G199" s="77">
        <f>SUM(G184:G198)</f>
        <v>0</v>
      </c>
    </row>
    <row r="200" spans="1:7" x14ac:dyDescent="0.25">
      <c r="A200" s="72"/>
      <c r="B200" s="73" t="s">
        <v>233</v>
      </c>
      <c r="C200" s="73"/>
      <c r="D200" s="74"/>
      <c r="E200" s="300">
        <v>3</v>
      </c>
      <c r="F200" s="74"/>
      <c r="G200" s="75">
        <f>G199*E200</f>
        <v>0</v>
      </c>
    </row>
    <row r="201" spans="1:7" x14ac:dyDescent="0.25">
      <c r="A201" s="69"/>
      <c r="B201" s="76"/>
      <c r="C201" s="76"/>
      <c r="D201" s="53"/>
      <c r="E201" s="301"/>
      <c r="F201" s="53"/>
      <c r="G201" s="77"/>
    </row>
    <row r="202" spans="1:7" s="78" customFormat="1" x14ac:dyDescent="0.25">
      <c r="A202" s="69"/>
      <c r="B202" s="76"/>
      <c r="C202" s="76"/>
      <c r="D202" s="53"/>
      <c r="E202" s="301"/>
      <c r="F202" s="53"/>
      <c r="G202" s="77"/>
    </row>
    <row r="203" spans="1:7" x14ac:dyDescent="0.25">
      <c r="A203" s="64">
        <v>4.4000000000000004</v>
      </c>
      <c r="B203" s="65" t="s">
        <v>234</v>
      </c>
      <c r="C203" s="65"/>
      <c r="D203" s="66"/>
      <c r="E203" s="298"/>
      <c r="F203" s="66"/>
      <c r="G203" s="67"/>
    </row>
    <row r="204" spans="1:7" x14ac:dyDescent="0.25">
      <c r="A204" s="49"/>
      <c r="B204" s="54"/>
      <c r="C204" s="54"/>
      <c r="D204" s="51"/>
      <c r="E204" s="307"/>
      <c r="F204" s="51"/>
      <c r="G204" s="52"/>
    </row>
    <row r="205" spans="1:7" ht="30" x14ac:dyDescent="0.25">
      <c r="A205" s="69" t="s">
        <v>235</v>
      </c>
      <c r="B205" s="70" t="s">
        <v>236</v>
      </c>
      <c r="C205" s="70"/>
      <c r="D205" s="53" t="s">
        <v>61</v>
      </c>
      <c r="E205" s="299">
        <f>(1.8+1)*(1.8+1)*1*1.05</f>
        <v>8.2319999999999993</v>
      </c>
      <c r="F205" s="53"/>
      <c r="G205" s="71">
        <f t="shared" ref="G205:G214" si="9">E205*F205</f>
        <v>0</v>
      </c>
    </row>
    <row r="206" spans="1:7" ht="18" x14ac:dyDescent="0.25">
      <c r="A206" s="69" t="s">
        <v>237</v>
      </c>
      <c r="B206" s="70" t="s">
        <v>238</v>
      </c>
      <c r="C206" s="70"/>
      <c r="D206" s="53" t="s">
        <v>61</v>
      </c>
      <c r="E206" s="299">
        <f>(2*0.3*2.2)-(0.2*0.2*0.3)*1.05</f>
        <v>1.3074000000000001</v>
      </c>
      <c r="F206" s="53"/>
      <c r="G206" s="71">
        <f t="shared" si="9"/>
        <v>0</v>
      </c>
    </row>
    <row r="207" spans="1:7" ht="18" x14ac:dyDescent="0.25">
      <c r="A207" s="69" t="s">
        <v>239</v>
      </c>
      <c r="B207" s="70" t="s">
        <v>163</v>
      </c>
      <c r="C207" s="70"/>
      <c r="D207" s="53" t="s">
        <v>61</v>
      </c>
      <c r="E207" s="299">
        <f>(1.8*0.05*2)-(0.2*0.2*0.05)*1.05</f>
        <v>0.17790000000000003</v>
      </c>
      <c r="F207" s="53"/>
      <c r="G207" s="71">
        <f t="shared" si="9"/>
        <v>0</v>
      </c>
    </row>
    <row r="208" spans="1:7" ht="18" x14ac:dyDescent="0.25">
      <c r="A208" s="69" t="s">
        <v>240</v>
      </c>
      <c r="B208" s="70" t="s">
        <v>241</v>
      </c>
      <c r="C208" s="70"/>
      <c r="D208" s="53" t="s">
        <v>61</v>
      </c>
      <c r="E208" s="299">
        <f>(1.8*0.15*2)-(0.2*0.2*0.15)*1.05</f>
        <v>0.53370000000000006</v>
      </c>
      <c r="F208" s="96"/>
      <c r="G208" s="71">
        <f t="shared" si="9"/>
        <v>0</v>
      </c>
    </row>
    <row r="209" spans="1:7" ht="18" x14ac:dyDescent="0.25">
      <c r="A209" s="69" t="s">
        <v>242</v>
      </c>
      <c r="B209" s="70" t="s">
        <v>243</v>
      </c>
      <c r="C209" s="70"/>
      <c r="D209" s="53" t="s">
        <v>61</v>
      </c>
      <c r="E209" s="299">
        <f>((1.6*1.2*0.2*2)+(1.2*1.2*0.2*2))*1.05</f>
        <v>1.4112</v>
      </c>
      <c r="F209" s="96"/>
      <c r="G209" s="71">
        <f t="shared" si="9"/>
        <v>0</v>
      </c>
    </row>
    <row r="210" spans="1:7" ht="18" x14ac:dyDescent="0.25">
      <c r="A210" s="69" t="s">
        <v>244</v>
      </c>
      <c r="B210" s="70" t="s">
        <v>245</v>
      </c>
      <c r="C210" s="70"/>
      <c r="D210" s="53" t="s">
        <v>58</v>
      </c>
      <c r="E210" s="299">
        <f>(1.2*1.2*4)*1.05</f>
        <v>6.048</v>
      </c>
      <c r="F210" s="96"/>
      <c r="G210" s="71">
        <f t="shared" si="9"/>
        <v>0</v>
      </c>
    </row>
    <row r="211" spans="1:7" ht="18" x14ac:dyDescent="0.25">
      <c r="A211" s="69" t="s">
        <v>246</v>
      </c>
      <c r="B211" s="70" t="s">
        <v>247</v>
      </c>
      <c r="C211" s="70"/>
      <c r="D211" s="53" t="s">
        <v>58</v>
      </c>
      <c r="E211" s="299">
        <f>((1.8*1.8)-(0.6*0.6))*1.05</f>
        <v>3.0240000000000005</v>
      </c>
      <c r="F211" s="96"/>
      <c r="G211" s="71">
        <f t="shared" si="9"/>
        <v>0</v>
      </c>
    </row>
    <row r="212" spans="1:7" ht="18" x14ac:dyDescent="0.25">
      <c r="A212" s="69" t="s">
        <v>248</v>
      </c>
      <c r="B212" s="70" t="s">
        <v>176</v>
      </c>
      <c r="C212" s="70"/>
      <c r="D212" s="53" t="s">
        <v>58</v>
      </c>
      <c r="E212" s="299">
        <f>(1.6*2+1.2*2)*0.2*1.05</f>
        <v>1.1759999999999999</v>
      </c>
      <c r="F212" s="53"/>
      <c r="G212" s="71">
        <f t="shared" si="9"/>
        <v>0</v>
      </c>
    </row>
    <row r="213" spans="1:7" ht="30" x14ac:dyDescent="0.25">
      <c r="A213" s="69" t="s">
        <v>249</v>
      </c>
      <c r="B213" s="70" t="s">
        <v>250</v>
      </c>
      <c r="C213" s="70"/>
      <c r="D213" s="53" t="s">
        <v>179</v>
      </c>
      <c r="E213" s="299">
        <v>1</v>
      </c>
      <c r="F213" s="53"/>
      <c r="G213" s="71">
        <f t="shared" si="9"/>
        <v>0</v>
      </c>
    </row>
    <row r="214" spans="1:7" ht="30" x14ac:dyDescent="0.25">
      <c r="A214" s="69" t="s">
        <v>251</v>
      </c>
      <c r="B214" s="54" t="s">
        <v>252</v>
      </c>
      <c r="C214" s="54"/>
      <c r="D214" s="53" t="s">
        <v>179</v>
      </c>
      <c r="E214" s="299">
        <v>1</v>
      </c>
      <c r="F214" s="53"/>
      <c r="G214" s="71">
        <f t="shared" si="9"/>
        <v>0</v>
      </c>
    </row>
    <row r="215" spans="1:7" ht="30" x14ac:dyDescent="0.25">
      <c r="A215" s="69" t="s">
        <v>253</v>
      </c>
      <c r="B215" s="70" t="s">
        <v>254</v>
      </c>
      <c r="C215" s="70"/>
      <c r="D215" s="53" t="s">
        <v>49</v>
      </c>
      <c r="E215" s="299">
        <v>1</v>
      </c>
      <c r="F215" s="53"/>
      <c r="G215" s="71">
        <f>F215*E215</f>
        <v>0</v>
      </c>
    </row>
    <row r="216" spans="1:7" x14ac:dyDescent="0.25">
      <c r="A216" s="99"/>
      <c r="B216" s="100" t="s">
        <v>255</v>
      </c>
      <c r="C216" s="100"/>
      <c r="D216" s="101"/>
      <c r="E216" s="313"/>
      <c r="F216" s="101"/>
      <c r="G216" s="102">
        <f>SUM(G205:G215)</f>
        <v>0</v>
      </c>
    </row>
    <row r="217" spans="1:7" x14ac:dyDescent="0.25">
      <c r="A217" s="103"/>
      <c r="B217" s="104" t="s">
        <v>256</v>
      </c>
      <c r="C217" s="104"/>
      <c r="D217" s="105"/>
      <c r="E217" s="314">
        <v>8</v>
      </c>
      <c r="F217" s="105"/>
      <c r="G217" s="106">
        <f>G216*E217</f>
        <v>0</v>
      </c>
    </row>
    <row r="218" spans="1:7" x14ac:dyDescent="0.25">
      <c r="A218" s="69"/>
      <c r="B218" s="76"/>
      <c r="C218" s="76"/>
      <c r="D218" s="53"/>
      <c r="E218" s="301"/>
      <c r="F218" s="53"/>
      <c r="G218" s="77"/>
    </row>
    <row r="219" spans="1:7" x14ac:dyDescent="0.25">
      <c r="A219" s="64">
        <v>4.5</v>
      </c>
      <c r="B219" s="65" t="s">
        <v>257</v>
      </c>
      <c r="C219" s="65"/>
      <c r="D219" s="66"/>
      <c r="E219" s="298"/>
      <c r="F219" s="66"/>
      <c r="G219" s="67"/>
    </row>
    <row r="220" spans="1:7" x14ac:dyDescent="0.25">
      <c r="A220" s="49"/>
      <c r="B220" s="54"/>
      <c r="C220" s="54"/>
      <c r="D220" s="51"/>
      <c r="E220" s="307"/>
      <c r="F220" s="51"/>
      <c r="G220" s="52"/>
    </row>
    <row r="221" spans="1:7" ht="30" x14ac:dyDescent="0.25">
      <c r="A221" s="69" t="s">
        <v>258</v>
      </c>
      <c r="B221" s="70" t="s">
        <v>236</v>
      </c>
      <c r="C221" s="70"/>
      <c r="D221" s="53" t="s">
        <v>61</v>
      </c>
      <c r="E221" s="299">
        <f>1*((2+1)+(2+1))*1.05</f>
        <v>6.3000000000000007</v>
      </c>
      <c r="F221" s="53"/>
      <c r="G221" s="71">
        <f t="shared" ref="G221:G230" si="10">E221*F221</f>
        <v>0</v>
      </c>
    </row>
    <row r="222" spans="1:7" ht="18" x14ac:dyDescent="0.25">
      <c r="A222" s="69" t="s">
        <v>259</v>
      </c>
      <c r="B222" s="70" t="s">
        <v>238</v>
      </c>
      <c r="C222" s="70"/>
      <c r="D222" s="53" t="s">
        <v>61</v>
      </c>
      <c r="E222" s="299">
        <f>(2*2*0.3-(0.2*0.2*0.3))*1.05</f>
        <v>1.2474000000000001</v>
      </c>
      <c r="F222" s="53"/>
      <c r="G222" s="71">
        <f t="shared" si="10"/>
        <v>0</v>
      </c>
    </row>
    <row r="223" spans="1:7" ht="18" x14ac:dyDescent="0.25">
      <c r="A223" s="69" t="s">
        <v>260</v>
      </c>
      <c r="B223" s="70" t="s">
        <v>163</v>
      </c>
      <c r="C223" s="70"/>
      <c r="D223" s="53" t="s">
        <v>61</v>
      </c>
      <c r="E223" s="299">
        <f>(1.6*1.6*0.05-(0.2*0.2*0.05))*1.05</f>
        <v>0.13230000000000003</v>
      </c>
      <c r="F223" s="53"/>
      <c r="G223" s="71">
        <f t="shared" si="10"/>
        <v>0</v>
      </c>
    </row>
    <row r="224" spans="1:7" ht="18" x14ac:dyDescent="0.25">
      <c r="A224" s="69" t="s">
        <v>261</v>
      </c>
      <c r="B224" s="70" t="s">
        <v>241</v>
      </c>
      <c r="C224" s="70"/>
      <c r="D224" s="53" t="s">
        <v>61</v>
      </c>
      <c r="E224" s="299">
        <f>(1.6*1.6*0.15-(0.2*0.2*0.15))*1.05</f>
        <v>0.39690000000000009</v>
      </c>
      <c r="F224" s="96"/>
      <c r="G224" s="71">
        <f t="shared" si="10"/>
        <v>0</v>
      </c>
    </row>
    <row r="225" spans="1:7" ht="18" x14ac:dyDescent="0.25">
      <c r="A225" s="69" t="s">
        <v>262</v>
      </c>
      <c r="B225" s="70" t="s">
        <v>243</v>
      </c>
      <c r="C225" s="70"/>
      <c r="D225" s="53" t="s">
        <v>61</v>
      </c>
      <c r="E225" s="299">
        <f>(((1.6*1.5*0.2*2)+(1.2*1.5*0.2))-(0.6*0.6*0.3))*1.05</f>
        <v>1.2726000000000002</v>
      </c>
      <c r="F225" s="96"/>
      <c r="G225" s="71">
        <f t="shared" si="10"/>
        <v>0</v>
      </c>
    </row>
    <row r="226" spans="1:7" ht="33" x14ac:dyDescent="0.25">
      <c r="A226" s="69" t="s">
        <v>263</v>
      </c>
      <c r="B226" s="70" t="s">
        <v>264</v>
      </c>
      <c r="C226" s="70"/>
      <c r="D226" s="53" t="s">
        <v>58</v>
      </c>
      <c r="E226" s="299">
        <f>1.2*1.5*4*1.05</f>
        <v>7.56</v>
      </c>
      <c r="F226" s="96"/>
      <c r="G226" s="71">
        <f t="shared" si="10"/>
        <v>0</v>
      </c>
    </row>
    <row r="227" spans="1:7" ht="18" x14ac:dyDescent="0.25">
      <c r="A227" s="69" t="s">
        <v>265</v>
      </c>
      <c r="B227" s="70" t="s">
        <v>247</v>
      </c>
      <c r="C227" s="70"/>
      <c r="D227" s="53" t="s">
        <v>58</v>
      </c>
      <c r="E227" s="299">
        <f>(1.8*1.8-0.6*0.6)*1.05</f>
        <v>3.0240000000000005</v>
      </c>
      <c r="F227" s="96"/>
      <c r="G227" s="71">
        <f t="shared" si="10"/>
        <v>0</v>
      </c>
    </row>
    <row r="228" spans="1:7" ht="18" x14ac:dyDescent="0.25">
      <c r="A228" s="69" t="s">
        <v>266</v>
      </c>
      <c r="B228" s="70" t="s">
        <v>176</v>
      </c>
      <c r="C228" s="70"/>
      <c r="D228" s="53" t="s">
        <v>58</v>
      </c>
      <c r="E228" s="299">
        <f>((1.6*0.2*2)+(1.2*0.2*2))*1.05</f>
        <v>1.1760000000000002</v>
      </c>
      <c r="F228" s="53"/>
      <c r="G228" s="71">
        <f t="shared" si="10"/>
        <v>0</v>
      </c>
    </row>
    <row r="229" spans="1:7" ht="30" x14ac:dyDescent="0.25">
      <c r="A229" s="69" t="s">
        <v>267</v>
      </c>
      <c r="B229" s="70" t="s">
        <v>250</v>
      </c>
      <c r="C229" s="70"/>
      <c r="D229" s="53" t="s">
        <v>179</v>
      </c>
      <c r="E229" s="299">
        <v>1</v>
      </c>
      <c r="F229" s="53"/>
      <c r="G229" s="71">
        <f t="shared" si="10"/>
        <v>0</v>
      </c>
    </row>
    <row r="230" spans="1:7" ht="30" x14ac:dyDescent="0.25">
      <c r="A230" s="69" t="s">
        <v>268</v>
      </c>
      <c r="B230" s="70" t="s">
        <v>269</v>
      </c>
      <c r="C230" s="70"/>
      <c r="D230" s="53" t="s">
        <v>179</v>
      </c>
      <c r="E230" s="299">
        <v>1</v>
      </c>
      <c r="F230" s="53"/>
      <c r="G230" s="71">
        <f t="shared" si="10"/>
        <v>0</v>
      </c>
    </row>
    <row r="231" spans="1:7" ht="30" x14ac:dyDescent="0.25">
      <c r="A231" s="69" t="s">
        <v>270</v>
      </c>
      <c r="B231" s="70" t="s">
        <v>271</v>
      </c>
      <c r="C231" s="70"/>
      <c r="D231" s="53" t="s">
        <v>49</v>
      </c>
      <c r="E231" s="299">
        <v>1</v>
      </c>
      <c r="F231" s="53"/>
      <c r="G231" s="71">
        <f>F231*E231</f>
        <v>0</v>
      </c>
    </row>
    <row r="232" spans="1:7" x14ac:dyDescent="0.25">
      <c r="A232" s="79"/>
      <c r="B232" s="65" t="s">
        <v>272</v>
      </c>
      <c r="C232" s="65"/>
      <c r="D232" s="66"/>
      <c r="E232" s="315"/>
      <c r="F232" s="66"/>
      <c r="G232" s="67">
        <f>SUM(G221:G231)</f>
        <v>0</v>
      </c>
    </row>
    <row r="233" spans="1:7" x14ac:dyDescent="0.25">
      <c r="A233" s="69"/>
      <c r="B233" s="76" t="s">
        <v>273</v>
      </c>
      <c r="C233" s="76"/>
      <c r="D233" s="53"/>
      <c r="E233" s="316">
        <v>1</v>
      </c>
      <c r="F233" s="53"/>
      <c r="G233" s="77">
        <f>G232*E233</f>
        <v>0</v>
      </c>
    </row>
    <row r="234" spans="1:7" x14ac:dyDescent="0.25">
      <c r="A234" s="69"/>
      <c r="B234" s="76"/>
      <c r="C234" s="76"/>
      <c r="D234" s="53"/>
      <c r="E234" s="301"/>
      <c r="F234" s="53"/>
      <c r="G234" s="77"/>
    </row>
    <row r="235" spans="1:7" x14ac:dyDescent="0.25">
      <c r="A235" s="103"/>
      <c r="B235" s="104" t="s">
        <v>274</v>
      </c>
      <c r="C235" s="104"/>
      <c r="D235" s="105"/>
      <c r="E235" s="314"/>
      <c r="F235" s="105"/>
      <c r="G235" s="106">
        <f>+G233+G217+G200+G181+G164</f>
        <v>0</v>
      </c>
    </row>
    <row r="236" spans="1:7" x14ac:dyDescent="0.25">
      <c r="A236" s="69"/>
      <c r="B236" s="76"/>
      <c r="C236" s="76"/>
      <c r="D236" s="53"/>
      <c r="E236" s="301"/>
      <c r="F236" s="53"/>
      <c r="G236" s="77"/>
    </row>
    <row r="237" spans="1:7" x14ac:dyDescent="0.25">
      <c r="A237" s="69"/>
      <c r="B237" s="76"/>
      <c r="C237" s="76"/>
      <c r="D237" s="53"/>
      <c r="E237" s="301"/>
      <c r="F237" s="53"/>
      <c r="G237" s="77"/>
    </row>
    <row r="238" spans="1:7" x14ac:dyDescent="0.25">
      <c r="A238" s="64">
        <v>5</v>
      </c>
      <c r="B238" s="65" t="s">
        <v>275</v>
      </c>
      <c r="C238" s="65"/>
      <c r="D238" s="66"/>
      <c r="E238" s="298"/>
      <c r="F238" s="66"/>
      <c r="G238" s="67"/>
    </row>
    <row r="239" spans="1:7" ht="15.75" x14ac:dyDescent="0.25">
      <c r="A239" s="69">
        <v>5.0999999999999996</v>
      </c>
      <c r="B239" s="107" t="s">
        <v>276</v>
      </c>
      <c r="C239" s="107"/>
      <c r="D239" s="108" t="s">
        <v>49</v>
      </c>
      <c r="E239" s="317">
        <v>1</v>
      </c>
      <c r="F239" s="109"/>
      <c r="G239" s="110">
        <f>E239*F239</f>
        <v>0</v>
      </c>
    </row>
    <row r="240" spans="1:7" ht="15.75" x14ac:dyDescent="0.25">
      <c r="A240" s="39"/>
      <c r="B240" s="111" t="s">
        <v>277</v>
      </c>
      <c r="C240" s="111"/>
      <c r="D240" s="112"/>
      <c r="E240" s="318"/>
      <c r="F240" s="113"/>
      <c r="G240" s="114"/>
    </row>
    <row r="241" spans="1:7" ht="47.25" x14ac:dyDescent="0.25">
      <c r="A241" s="69">
        <v>5.2</v>
      </c>
      <c r="B241" s="363" t="s">
        <v>278</v>
      </c>
      <c r="C241" s="363"/>
      <c r="D241" s="364" t="s">
        <v>279</v>
      </c>
      <c r="E241" s="319">
        <f>7.5*5.5*2.5</f>
        <v>103.125</v>
      </c>
      <c r="F241" s="115"/>
      <c r="G241" s="116">
        <f t="shared" ref="G241:G256" si="11">E241*F241</f>
        <v>0</v>
      </c>
    </row>
    <row r="242" spans="1:7" ht="31.5" x14ac:dyDescent="0.25">
      <c r="A242" s="69">
        <v>5.3</v>
      </c>
      <c r="B242" s="363" t="s">
        <v>280</v>
      </c>
      <c r="C242" s="363"/>
      <c r="D242" s="364" t="s">
        <v>281</v>
      </c>
      <c r="E242" s="319">
        <f>7.25*5*0.3</f>
        <v>10.875</v>
      </c>
      <c r="F242" s="115"/>
      <c r="G242" s="116">
        <f t="shared" si="11"/>
        <v>0</v>
      </c>
    </row>
    <row r="243" spans="1:7" ht="15.75" x14ac:dyDescent="0.25">
      <c r="A243" s="69">
        <v>5.4</v>
      </c>
      <c r="B243" s="365"/>
      <c r="C243" s="365"/>
      <c r="D243" s="364"/>
      <c r="E243" s="319"/>
      <c r="F243" s="115"/>
      <c r="G243" s="116">
        <f t="shared" si="11"/>
        <v>0</v>
      </c>
    </row>
    <row r="244" spans="1:7" ht="15.75" x14ac:dyDescent="0.25">
      <c r="A244" s="69">
        <v>5.5</v>
      </c>
      <c r="B244" s="117" t="s">
        <v>282</v>
      </c>
      <c r="C244" s="117"/>
      <c r="D244" s="118" t="s">
        <v>281</v>
      </c>
      <c r="E244" s="317">
        <f>1.6*4*0.75</f>
        <v>4.8000000000000007</v>
      </c>
      <c r="F244" s="119"/>
      <c r="G244" s="116">
        <f t="shared" si="11"/>
        <v>0</v>
      </c>
    </row>
    <row r="245" spans="1:7" ht="15.75" x14ac:dyDescent="0.25">
      <c r="A245" s="69">
        <v>5.6</v>
      </c>
      <c r="B245" s="117" t="s">
        <v>283</v>
      </c>
      <c r="C245" s="117"/>
      <c r="D245" s="118" t="s">
        <v>281</v>
      </c>
      <c r="E245" s="317">
        <f>1.6*4*0.75</f>
        <v>4.8000000000000007</v>
      </c>
      <c r="F245" s="119"/>
      <c r="G245" s="116">
        <f t="shared" si="11"/>
        <v>0</v>
      </c>
    </row>
    <row r="246" spans="1:7" ht="15.75" x14ac:dyDescent="0.25">
      <c r="A246" s="69">
        <v>5.7</v>
      </c>
      <c r="B246" s="117" t="s">
        <v>284</v>
      </c>
      <c r="C246" s="117"/>
      <c r="D246" s="118" t="s">
        <v>281</v>
      </c>
      <c r="E246" s="317">
        <v>16.399999999999999</v>
      </c>
      <c r="F246" s="119"/>
      <c r="G246" s="116">
        <f t="shared" si="11"/>
        <v>0</v>
      </c>
    </row>
    <row r="247" spans="1:7" ht="15.75" x14ac:dyDescent="0.25">
      <c r="A247" s="69">
        <v>5.8</v>
      </c>
      <c r="B247" s="117" t="s">
        <v>285</v>
      </c>
      <c r="C247" s="117"/>
      <c r="D247" s="118" t="s">
        <v>51</v>
      </c>
      <c r="E247" s="317">
        <v>1</v>
      </c>
      <c r="F247" s="119"/>
      <c r="G247" s="116">
        <f t="shared" si="11"/>
        <v>0</v>
      </c>
    </row>
    <row r="248" spans="1:7" ht="15.75" x14ac:dyDescent="0.25">
      <c r="A248" s="69">
        <v>5.9</v>
      </c>
      <c r="B248" s="117" t="s">
        <v>286</v>
      </c>
      <c r="C248" s="117"/>
      <c r="D248" s="118" t="s">
        <v>287</v>
      </c>
      <c r="E248" s="317">
        <f>((7.13*2)*(5.2*2))*(0.05)</f>
        <v>7.4152000000000005</v>
      </c>
      <c r="F248" s="119"/>
      <c r="G248" s="116">
        <f t="shared" si="11"/>
        <v>0</v>
      </c>
    </row>
    <row r="249" spans="1:7" ht="15.75" x14ac:dyDescent="0.25">
      <c r="A249" s="39"/>
      <c r="B249" s="366" t="s">
        <v>288</v>
      </c>
      <c r="C249" s="366"/>
      <c r="D249" s="367"/>
      <c r="E249" s="321"/>
      <c r="F249" s="120"/>
      <c r="G249" s="121"/>
    </row>
    <row r="250" spans="1:7" ht="18.75" x14ac:dyDescent="0.25">
      <c r="A250" s="69" t="s">
        <v>289</v>
      </c>
      <c r="B250" s="363" t="s">
        <v>290</v>
      </c>
      <c r="C250" s="363"/>
      <c r="D250" s="364" t="s">
        <v>279</v>
      </c>
      <c r="E250" s="319">
        <f>7.5*6.5*0.05</f>
        <v>2.4375</v>
      </c>
      <c r="F250" s="115"/>
      <c r="G250" s="116">
        <f>E250*F250</f>
        <v>0</v>
      </c>
    </row>
    <row r="251" spans="1:7" ht="31.5" x14ac:dyDescent="0.25">
      <c r="A251" s="69">
        <v>5.1100000000000003</v>
      </c>
      <c r="B251" s="363" t="s">
        <v>291</v>
      </c>
      <c r="C251" s="363"/>
      <c r="D251" s="364" t="s">
        <v>281</v>
      </c>
      <c r="E251" s="319">
        <f>(0.5*7.25*0.15)+(0.5*2*0.15)</f>
        <v>0.69374999999999998</v>
      </c>
      <c r="F251" s="115"/>
      <c r="G251" s="116">
        <f>E251*F251</f>
        <v>0</v>
      </c>
    </row>
    <row r="252" spans="1:7" ht="15.75" x14ac:dyDescent="0.25">
      <c r="A252" s="69">
        <v>5.12</v>
      </c>
      <c r="B252" s="363" t="s">
        <v>292</v>
      </c>
      <c r="C252" s="363"/>
      <c r="D252" s="364" t="str">
        <f>D250</f>
        <v>m3</v>
      </c>
      <c r="E252" s="319">
        <f>5.1*4*0.2*2+6.75*2*0.2*2+7.25*5.1*0.3</f>
        <v>24.652499999999996</v>
      </c>
      <c r="F252" s="115"/>
      <c r="G252" s="116">
        <f t="shared" si="11"/>
        <v>0</v>
      </c>
    </row>
    <row r="253" spans="1:7" ht="18.75" x14ac:dyDescent="0.25">
      <c r="A253" s="69">
        <v>5.13</v>
      </c>
      <c r="B253" s="363" t="s">
        <v>293</v>
      </c>
      <c r="C253" s="363"/>
      <c r="D253" s="364" t="s">
        <v>279</v>
      </c>
      <c r="E253" s="319">
        <f>7.3*0.2*0.7+2*0.2*0.7+7.25*5*0.3</f>
        <v>12.177</v>
      </c>
      <c r="F253" s="115"/>
      <c r="G253" s="116">
        <f t="shared" si="11"/>
        <v>0</v>
      </c>
    </row>
    <row r="254" spans="1:7" ht="18.75" x14ac:dyDescent="0.25">
      <c r="A254" s="69">
        <v>5.14</v>
      </c>
      <c r="B254" s="363" t="s">
        <v>294</v>
      </c>
      <c r="C254" s="363"/>
      <c r="D254" s="364" t="s">
        <v>279</v>
      </c>
      <c r="E254" s="319">
        <f>7.25*6.3*2.3-6.75*2*6+2*7.25*0.7+2*7.25*0.7</f>
        <v>44.352499999999978</v>
      </c>
      <c r="F254" s="122"/>
      <c r="G254" s="116">
        <f t="shared" si="11"/>
        <v>0</v>
      </c>
    </row>
    <row r="255" spans="1:7" ht="18.75" x14ac:dyDescent="0.25">
      <c r="A255" s="69">
        <v>5.15</v>
      </c>
      <c r="B255" s="363" t="s">
        <v>295</v>
      </c>
      <c r="C255" s="363"/>
      <c r="D255" s="364" t="s">
        <v>279</v>
      </c>
      <c r="E255" s="319">
        <f>(4*2+5.5*2+4.4)*0.4*0.05</f>
        <v>0.46799999999999997</v>
      </c>
      <c r="F255" s="115"/>
      <c r="G255" s="116">
        <f t="shared" si="11"/>
        <v>0</v>
      </c>
    </row>
    <row r="256" spans="1:7" ht="15.75" x14ac:dyDescent="0.25">
      <c r="A256" s="69">
        <v>5.16</v>
      </c>
      <c r="B256" s="363" t="s">
        <v>296</v>
      </c>
      <c r="C256" s="363"/>
      <c r="D256" s="364" t="s">
        <v>297</v>
      </c>
      <c r="E256" s="319">
        <f>(7.25*2+6.3*2)*0.05</f>
        <v>1.3550000000000002</v>
      </c>
      <c r="F256" s="115"/>
      <c r="G256" s="116">
        <f t="shared" si="11"/>
        <v>0</v>
      </c>
    </row>
    <row r="257" spans="1:7" ht="15.75" x14ac:dyDescent="0.25">
      <c r="A257" s="39"/>
      <c r="B257" s="365" t="s">
        <v>298</v>
      </c>
      <c r="C257" s="365"/>
      <c r="D257" s="364"/>
      <c r="E257" s="322"/>
      <c r="F257" s="122"/>
      <c r="G257" s="123">
        <f>SUM(G238:G256)</f>
        <v>0</v>
      </c>
    </row>
    <row r="258" spans="1:7" ht="15.75" x14ac:dyDescent="0.25">
      <c r="A258" s="39"/>
      <c r="B258" s="368" t="s">
        <v>299</v>
      </c>
      <c r="C258" s="366"/>
      <c r="D258" s="366"/>
      <c r="E258" s="320"/>
      <c r="F258" s="366"/>
      <c r="G258" s="366"/>
    </row>
    <row r="259" spans="1:7" ht="15.75" x14ac:dyDescent="0.25">
      <c r="A259" s="39"/>
      <c r="B259" s="124" t="s">
        <v>300</v>
      </c>
      <c r="C259" s="124"/>
      <c r="D259" s="125"/>
      <c r="E259" s="323"/>
      <c r="F259" s="126"/>
      <c r="G259" s="127"/>
    </row>
    <row r="260" spans="1:7" ht="18.75" x14ac:dyDescent="0.25">
      <c r="A260" s="69">
        <v>5.17</v>
      </c>
      <c r="B260" s="128" t="s">
        <v>301</v>
      </c>
      <c r="C260" s="128"/>
      <c r="D260" s="108" t="s">
        <v>302</v>
      </c>
      <c r="E260" s="319">
        <f>(7.25*2.5*0.2)*2+(5.3*2.55*0.2)*2-(4*0.7*0.7*0.2)-1.8*2.1*0.2</f>
        <v>11.507999999999999</v>
      </c>
      <c r="F260" s="129"/>
      <c r="G260" s="110">
        <f>E260*F260</f>
        <v>0</v>
      </c>
    </row>
    <row r="261" spans="1:7" ht="18.75" x14ac:dyDescent="0.25">
      <c r="A261" s="69">
        <v>5.18</v>
      </c>
      <c r="B261" s="130" t="s">
        <v>303</v>
      </c>
      <c r="C261" s="130"/>
      <c r="D261" s="108" t="s">
        <v>304</v>
      </c>
      <c r="E261" s="317">
        <v>2</v>
      </c>
      <c r="F261" s="109"/>
      <c r="G261" s="110">
        <f>E261*F261</f>
        <v>0</v>
      </c>
    </row>
    <row r="262" spans="1:7" ht="18.75" x14ac:dyDescent="0.25">
      <c r="A262" s="69">
        <v>5.19</v>
      </c>
      <c r="B262" s="130" t="s">
        <v>305</v>
      </c>
      <c r="C262" s="130"/>
      <c r="D262" s="108" t="s">
        <v>302</v>
      </c>
      <c r="E262" s="317">
        <f>0.2*0.2*25.1</f>
        <v>1.0040000000000002</v>
      </c>
      <c r="F262" s="115"/>
      <c r="G262" s="110">
        <f>E262*F262</f>
        <v>0</v>
      </c>
    </row>
    <row r="263" spans="1:7" ht="15.75" x14ac:dyDescent="0.25">
      <c r="A263" s="39"/>
      <c r="B263" s="369" t="s">
        <v>306</v>
      </c>
      <c r="C263" s="369"/>
      <c r="D263" s="370"/>
      <c r="E263" s="324"/>
      <c r="F263" s="131"/>
      <c r="G263" s="132"/>
    </row>
    <row r="264" spans="1:7" ht="63" x14ac:dyDescent="0.25">
      <c r="A264" s="69" t="s">
        <v>307</v>
      </c>
      <c r="B264" s="371" t="s">
        <v>308</v>
      </c>
      <c r="C264" s="371"/>
      <c r="D264" s="372" t="s">
        <v>281</v>
      </c>
      <c r="E264" s="325">
        <f>(7.25+1)*(5.3+1)*0.12</f>
        <v>6.2370000000000001</v>
      </c>
      <c r="F264" s="119"/>
      <c r="G264" s="116">
        <f>E264*F264</f>
        <v>0</v>
      </c>
    </row>
    <row r="265" spans="1:7" ht="15.75" x14ac:dyDescent="0.25">
      <c r="A265" s="39"/>
      <c r="B265" s="373" t="s">
        <v>298</v>
      </c>
      <c r="C265" s="373"/>
      <c r="D265" s="372"/>
      <c r="E265" s="326"/>
      <c r="F265" s="122"/>
      <c r="G265" s="123">
        <f>SUM(G260:G264)</f>
        <v>0</v>
      </c>
    </row>
    <row r="266" spans="1:7" ht="15.75" x14ac:dyDescent="0.25">
      <c r="A266" s="39"/>
      <c r="B266" s="369" t="s">
        <v>309</v>
      </c>
      <c r="C266" s="369"/>
      <c r="D266" s="374"/>
      <c r="E266" s="327"/>
      <c r="F266" s="133"/>
      <c r="G266" s="134"/>
    </row>
    <row r="267" spans="1:7" ht="18.75" x14ac:dyDescent="0.25">
      <c r="A267" s="69">
        <v>5.21</v>
      </c>
      <c r="B267" s="371" t="s">
        <v>310</v>
      </c>
      <c r="C267" s="371"/>
      <c r="D267" s="372" t="s">
        <v>311</v>
      </c>
      <c r="E267" s="328">
        <f>E264</f>
        <v>6.2370000000000001</v>
      </c>
      <c r="F267" s="122"/>
      <c r="G267" s="116">
        <f>E267*F267</f>
        <v>0</v>
      </c>
    </row>
    <row r="268" spans="1:7" ht="15.75" x14ac:dyDescent="0.25">
      <c r="A268" s="39"/>
      <c r="B268" s="369" t="s">
        <v>312</v>
      </c>
      <c r="C268" s="369"/>
      <c r="D268" s="374"/>
      <c r="E268" s="327"/>
      <c r="F268" s="133"/>
      <c r="G268" s="134"/>
    </row>
    <row r="269" spans="1:7" s="135" customFormat="1" ht="17.25" x14ac:dyDescent="0.3">
      <c r="A269" s="39"/>
      <c r="B269" s="369" t="s">
        <v>313</v>
      </c>
      <c r="C269" s="369"/>
      <c r="D269" s="374"/>
      <c r="E269" s="327"/>
      <c r="F269" s="133"/>
      <c r="G269" s="134"/>
    </row>
    <row r="270" spans="1:7" s="135" customFormat="1" ht="31.5" x14ac:dyDescent="0.3">
      <c r="A270" s="69">
        <v>5.22</v>
      </c>
      <c r="B270" s="371" t="s">
        <v>314</v>
      </c>
      <c r="C270" s="371"/>
      <c r="D270" s="372" t="s">
        <v>315</v>
      </c>
      <c r="E270" s="326">
        <v>1</v>
      </c>
      <c r="F270" s="109"/>
      <c r="G270" s="116">
        <f>E270*F270</f>
        <v>0</v>
      </c>
    </row>
    <row r="271" spans="1:7" s="135" customFormat="1" ht="17.25" x14ac:dyDescent="0.3">
      <c r="A271" s="39"/>
      <c r="B271" s="375" t="s">
        <v>316</v>
      </c>
      <c r="C271" s="375"/>
      <c r="D271" s="374"/>
      <c r="E271" s="327"/>
      <c r="F271" s="133"/>
      <c r="G271" s="134"/>
    </row>
    <row r="272" spans="1:7" s="135" customFormat="1" ht="17.25" x14ac:dyDescent="0.3">
      <c r="A272" s="69">
        <v>5.22</v>
      </c>
      <c r="B272" s="371" t="s">
        <v>317</v>
      </c>
      <c r="C272" s="371"/>
      <c r="D272" s="372" t="s">
        <v>315</v>
      </c>
      <c r="E272" s="328">
        <v>4</v>
      </c>
      <c r="F272" s="122"/>
      <c r="G272" s="116">
        <f>E272*F272</f>
        <v>0</v>
      </c>
    </row>
    <row r="273" spans="1:7" s="135" customFormat="1" ht="17.25" x14ac:dyDescent="0.3">
      <c r="A273" s="39"/>
      <c r="B273" s="369" t="s">
        <v>318</v>
      </c>
      <c r="C273" s="369"/>
      <c r="D273" s="374"/>
      <c r="E273" s="327"/>
      <c r="F273" s="133"/>
      <c r="G273" s="134"/>
    </row>
    <row r="274" spans="1:7" s="135" customFormat="1" ht="18.75" x14ac:dyDescent="0.3">
      <c r="A274" s="69">
        <v>5.23</v>
      </c>
      <c r="B274" s="376" t="s">
        <v>319</v>
      </c>
      <c r="C274" s="376"/>
      <c r="D274" s="372" t="s">
        <v>311</v>
      </c>
      <c r="E274" s="328">
        <f>7.25*0.5+25.1*0.6</f>
        <v>18.685000000000002</v>
      </c>
      <c r="F274" s="122"/>
      <c r="G274" s="116">
        <f>E274*F274</f>
        <v>0</v>
      </c>
    </row>
    <row r="275" spans="1:7" s="135" customFormat="1" ht="17.25" x14ac:dyDescent="0.3">
      <c r="A275" s="39"/>
      <c r="B275" s="369" t="s">
        <v>320</v>
      </c>
      <c r="C275" s="369"/>
      <c r="D275" s="374"/>
      <c r="E275" s="327"/>
      <c r="F275" s="133"/>
      <c r="G275" s="134"/>
    </row>
    <row r="276" spans="1:7" s="135" customFormat="1" ht="18.75" x14ac:dyDescent="0.3">
      <c r="A276" s="69">
        <v>5.24</v>
      </c>
      <c r="B276" s="376" t="s">
        <v>321</v>
      </c>
      <c r="C276" s="376"/>
      <c r="D276" s="372" t="s">
        <v>311</v>
      </c>
      <c r="E276" s="328">
        <f>25.1*2.5</f>
        <v>62.75</v>
      </c>
      <c r="F276" s="122"/>
      <c r="G276" s="116">
        <f>F276*E276</f>
        <v>0</v>
      </c>
    </row>
    <row r="277" spans="1:7" s="135" customFormat="1" ht="17.25" x14ac:dyDescent="0.3">
      <c r="A277" s="39"/>
      <c r="B277" s="369" t="s">
        <v>322</v>
      </c>
      <c r="C277" s="369"/>
      <c r="D277" s="374"/>
      <c r="E277" s="329"/>
      <c r="F277" s="133"/>
      <c r="G277" s="134"/>
    </row>
    <row r="278" spans="1:7" s="135" customFormat="1" ht="18.75" x14ac:dyDescent="0.3">
      <c r="A278" s="69">
        <v>5.25</v>
      </c>
      <c r="B278" s="376" t="s">
        <v>323</v>
      </c>
      <c r="C278" s="376"/>
      <c r="D278" s="372" t="s">
        <v>311</v>
      </c>
      <c r="E278" s="328">
        <f>E276</f>
        <v>62.75</v>
      </c>
      <c r="F278" s="122"/>
      <c r="G278" s="116">
        <f>E278*F278</f>
        <v>0</v>
      </c>
    </row>
    <row r="279" spans="1:7" s="135" customFormat="1" ht="17.25" x14ac:dyDescent="0.3">
      <c r="A279" s="136"/>
      <c r="B279" s="137" t="s">
        <v>324</v>
      </c>
      <c r="C279" s="137"/>
      <c r="D279" s="138"/>
      <c r="E279" s="330"/>
      <c r="F279" s="137"/>
      <c r="G279" s="116"/>
    </row>
    <row r="280" spans="1:7" s="140" customFormat="1" ht="15.75" x14ac:dyDescent="0.25">
      <c r="A280" s="39"/>
      <c r="B280" s="369" t="s">
        <v>325</v>
      </c>
      <c r="C280" s="369"/>
      <c r="D280" s="377"/>
      <c r="E280" s="331"/>
      <c r="F280" s="137"/>
      <c r="G280" s="139"/>
    </row>
    <row r="281" spans="1:7" ht="31.5" x14ac:dyDescent="0.25">
      <c r="A281" s="69">
        <v>5.26</v>
      </c>
      <c r="B281" s="378" t="s">
        <v>326</v>
      </c>
      <c r="C281" s="378"/>
      <c r="D281" s="372" t="s">
        <v>49</v>
      </c>
      <c r="E281" s="332">
        <v>1</v>
      </c>
      <c r="F281" s="122"/>
      <c r="G281" s="116">
        <f>E281*F281</f>
        <v>0</v>
      </c>
    </row>
    <row r="282" spans="1:7" ht="18.75" x14ac:dyDescent="0.25">
      <c r="A282" s="69">
        <v>5.27</v>
      </c>
      <c r="B282" s="141" t="s">
        <v>327</v>
      </c>
      <c r="C282" s="141"/>
      <c r="D282" s="142" t="s">
        <v>311</v>
      </c>
      <c r="E282" s="333">
        <f>7.25*2*2+6.3*2*2</f>
        <v>54.2</v>
      </c>
      <c r="F282" s="143"/>
      <c r="G282" s="144">
        <f t="shared" ref="G282" si="12">E282*F282</f>
        <v>0</v>
      </c>
    </row>
    <row r="283" spans="1:7" ht="15.75" x14ac:dyDescent="0.25">
      <c r="A283" s="69">
        <v>5.28</v>
      </c>
      <c r="B283" s="369" t="s">
        <v>328</v>
      </c>
      <c r="C283" s="369"/>
      <c r="D283" s="145"/>
      <c r="E283" s="334"/>
      <c r="F283" s="137"/>
      <c r="G283" s="139"/>
    </row>
    <row r="284" spans="1:7" ht="15.75" customHeight="1" x14ac:dyDescent="0.25">
      <c r="A284" s="69">
        <v>5.29</v>
      </c>
      <c r="B284" s="378" t="s">
        <v>329</v>
      </c>
      <c r="C284" s="378"/>
      <c r="D284" s="142"/>
      <c r="E284" s="335"/>
      <c r="F284" s="129"/>
      <c r="G284" s="144"/>
    </row>
    <row r="285" spans="1:7" ht="31.5" x14ac:dyDescent="0.25">
      <c r="A285" s="146" t="s">
        <v>330</v>
      </c>
      <c r="B285" s="378" t="s">
        <v>331</v>
      </c>
      <c r="C285" s="378"/>
      <c r="D285" s="142" t="s">
        <v>332</v>
      </c>
      <c r="E285" s="335">
        <v>4</v>
      </c>
      <c r="F285" s="129"/>
      <c r="G285" s="144">
        <f>E285*F285</f>
        <v>0</v>
      </c>
    </row>
    <row r="286" spans="1:7" ht="15.75" x14ac:dyDescent="0.25">
      <c r="A286" s="69">
        <v>5.31</v>
      </c>
      <c r="B286" s="378" t="s">
        <v>333</v>
      </c>
      <c r="C286" s="378"/>
      <c r="D286" s="142" t="s">
        <v>332</v>
      </c>
      <c r="E286" s="335">
        <v>3</v>
      </c>
      <c r="F286" s="129"/>
      <c r="G286" s="144">
        <f>E286*F286</f>
        <v>0</v>
      </c>
    </row>
    <row r="287" spans="1:7" ht="15.75" x14ac:dyDescent="0.25">
      <c r="A287" s="39"/>
      <c r="B287" s="147" t="s">
        <v>334</v>
      </c>
      <c r="C287" s="147"/>
      <c r="D287" s="145"/>
      <c r="E287" s="334"/>
      <c r="F287" s="137"/>
      <c r="G287" s="134"/>
    </row>
    <row r="288" spans="1:7" ht="47.25" x14ac:dyDescent="0.25">
      <c r="A288" s="69">
        <v>5.32</v>
      </c>
      <c r="B288" s="148" t="s">
        <v>335</v>
      </c>
      <c r="C288" s="148"/>
      <c r="D288" s="149" t="s">
        <v>281</v>
      </c>
      <c r="E288" s="336">
        <f>3*2*2</f>
        <v>12</v>
      </c>
      <c r="F288" s="129"/>
      <c r="G288" s="144">
        <f>E288*F288</f>
        <v>0</v>
      </c>
    </row>
    <row r="289" spans="1:7" ht="15.75" x14ac:dyDescent="0.25">
      <c r="A289" s="69">
        <f>A288+0.01</f>
        <v>5.33</v>
      </c>
      <c r="B289" s="148" t="s">
        <v>336</v>
      </c>
      <c r="C289" s="148"/>
      <c r="D289" s="149" t="s">
        <v>281</v>
      </c>
      <c r="E289" s="336">
        <f>2*2*0.1</f>
        <v>0.4</v>
      </c>
      <c r="F289" s="115"/>
      <c r="G289" s="144">
        <f>E289*F289</f>
        <v>0</v>
      </c>
    </row>
    <row r="290" spans="1:7" ht="15.75" x14ac:dyDescent="0.25">
      <c r="A290" s="69">
        <f>A289+0.01</f>
        <v>5.34</v>
      </c>
      <c r="B290" s="148" t="s">
        <v>337</v>
      </c>
      <c r="C290" s="148"/>
      <c r="D290" s="149" t="s">
        <v>281</v>
      </c>
      <c r="E290" s="336">
        <f>2*0.35*2</f>
        <v>1.4</v>
      </c>
      <c r="F290" s="129"/>
      <c r="G290" s="144">
        <f>E290*F290</f>
        <v>0</v>
      </c>
    </row>
    <row r="291" spans="1:7" s="150" customFormat="1" ht="15.75" x14ac:dyDescent="0.25">
      <c r="A291" s="39"/>
      <c r="B291" s="369" t="s">
        <v>338</v>
      </c>
      <c r="C291" s="369"/>
      <c r="D291" s="145"/>
      <c r="E291" s="334"/>
      <c r="F291" s="137"/>
      <c r="G291" s="139"/>
    </row>
    <row r="292" spans="1:7" s="150" customFormat="1" ht="15.75" x14ac:dyDescent="0.25">
      <c r="A292" s="69">
        <f>A290+0.01</f>
        <v>5.35</v>
      </c>
      <c r="B292" s="378" t="s">
        <v>339</v>
      </c>
      <c r="C292" s="378"/>
      <c r="D292" s="108" t="s">
        <v>49</v>
      </c>
      <c r="E292" s="328">
        <f>1*2+2</f>
        <v>4</v>
      </c>
      <c r="F292" s="122"/>
      <c r="G292" s="116">
        <f>E292*F292</f>
        <v>0</v>
      </c>
    </row>
    <row r="293" spans="1:7" s="152" customFormat="1" ht="31.5" x14ac:dyDescent="0.25">
      <c r="A293" s="69">
        <v>5.36</v>
      </c>
      <c r="B293" s="379" t="s">
        <v>340</v>
      </c>
      <c r="C293" s="379"/>
      <c r="D293" s="380" t="s">
        <v>297</v>
      </c>
      <c r="E293" s="337">
        <v>80</v>
      </c>
      <c r="F293" s="151"/>
      <c r="G293" s="121">
        <f>E293*F293</f>
        <v>0</v>
      </c>
    </row>
    <row r="294" spans="1:7" s="150" customFormat="1" ht="15.75" x14ac:dyDescent="0.25">
      <c r="A294" s="153"/>
      <c r="B294" s="375" t="s">
        <v>298</v>
      </c>
      <c r="C294" s="375"/>
      <c r="D294" s="380"/>
      <c r="E294" s="338"/>
      <c r="F294" s="151"/>
      <c r="G294" s="132">
        <f>SUM(G267:G293)</f>
        <v>0</v>
      </c>
    </row>
    <row r="295" spans="1:7" s="150" customFormat="1" ht="15.75" x14ac:dyDescent="0.25">
      <c r="A295" s="154"/>
      <c r="B295" s="155" t="s">
        <v>341</v>
      </c>
      <c r="C295" s="155"/>
      <c r="D295" s="156"/>
      <c r="E295" s="339"/>
      <c r="F295" s="155"/>
      <c r="G295" s="157">
        <f>SUM(G294,G265,G257, )</f>
        <v>0</v>
      </c>
    </row>
    <row r="296" spans="1:7" s="150" customFormat="1" ht="15.75" x14ac:dyDescent="0.25">
      <c r="A296" s="158"/>
      <c r="B296" s="159" t="s">
        <v>342</v>
      </c>
      <c r="C296" s="159"/>
      <c r="D296" s="160"/>
      <c r="E296" s="340">
        <v>1</v>
      </c>
      <c r="F296" s="159"/>
      <c r="G296" s="161">
        <f>G295*E296</f>
        <v>0</v>
      </c>
    </row>
    <row r="297" spans="1:7" x14ac:dyDescent="0.25">
      <c r="A297" s="153"/>
      <c r="B297" s="162"/>
      <c r="C297" s="162"/>
      <c r="D297" s="163"/>
      <c r="E297" s="341"/>
      <c r="F297" s="164"/>
      <c r="G297" s="165"/>
    </row>
    <row r="298" spans="1:7" s="140" customFormat="1" x14ac:dyDescent="0.25">
      <c r="A298" s="39">
        <v>6</v>
      </c>
      <c r="B298" s="46" t="s">
        <v>343</v>
      </c>
      <c r="C298" s="46"/>
      <c r="D298" s="47"/>
      <c r="E298" s="292"/>
      <c r="F298" s="47"/>
      <c r="G298" s="48"/>
    </row>
    <row r="299" spans="1:7" s="140" customFormat="1" ht="16.5" x14ac:dyDescent="0.25">
      <c r="A299" s="39">
        <v>6.1</v>
      </c>
      <c r="B299" s="166" t="s">
        <v>344</v>
      </c>
      <c r="C299" s="166"/>
      <c r="D299" s="47"/>
      <c r="E299" s="292"/>
      <c r="F299" s="47"/>
      <c r="G299" s="48"/>
    </row>
    <row r="300" spans="1:7" s="140" customFormat="1" ht="30" x14ac:dyDescent="0.25">
      <c r="A300" s="167" t="s">
        <v>345</v>
      </c>
      <c r="B300" s="168" t="s">
        <v>346</v>
      </c>
      <c r="C300" s="168"/>
      <c r="D300" s="47" t="s">
        <v>172</v>
      </c>
      <c r="E300" s="299">
        <f>+((4.2+1.5*2)*(3.6+1.5*2))</f>
        <v>47.519999999999996</v>
      </c>
      <c r="F300" s="169"/>
      <c r="G300" s="170">
        <f>+E300*F300</f>
        <v>0</v>
      </c>
    </row>
    <row r="301" spans="1:7" s="140" customFormat="1" ht="18" x14ac:dyDescent="0.25">
      <c r="A301" s="167" t="s">
        <v>347</v>
      </c>
      <c r="B301" s="168" t="s">
        <v>348</v>
      </c>
      <c r="C301" s="168"/>
      <c r="D301" s="47" t="s">
        <v>61</v>
      </c>
      <c r="E301" s="299">
        <f>+E300*0.2</f>
        <v>9.5039999999999996</v>
      </c>
      <c r="F301" s="169"/>
      <c r="G301" s="170">
        <f t="shared" ref="G301:G320" si="13">+E301*F301</f>
        <v>0</v>
      </c>
    </row>
    <row r="302" spans="1:7" s="140" customFormat="1" ht="18" x14ac:dyDescent="0.25">
      <c r="A302" s="167" t="s">
        <v>349</v>
      </c>
      <c r="B302" s="168" t="s">
        <v>350</v>
      </c>
      <c r="C302" s="168"/>
      <c r="D302" s="47" t="s">
        <v>61</v>
      </c>
      <c r="E302" s="299">
        <f>+E300*1</f>
        <v>47.519999999999996</v>
      </c>
      <c r="F302" s="169"/>
      <c r="G302" s="170">
        <f t="shared" si="13"/>
        <v>0</v>
      </c>
    </row>
    <row r="303" spans="1:7" s="140" customFormat="1" ht="30" x14ac:dyDescent="0.25">
      <c r="A303" s="167" t="s">
        <v>351</v>
      </c>
      <c r="B303" s="168" t="s">
        <v>352</v>
      </c>
      <c r="C303" s="168"/>
      <c r="D303" s="47" t="s">
        <v>58</v>
      </c>
      <c r="E303" s="299">
        <f>+E300</f>
        <v>47.519999999999996</v>
      </c>
      <c r="F303" s="169"/>
      <c r="G303" s="170">
        <f t="shared" si="13"/>
        <v>0</v>
      </c>
    </row>
    <row r="304" spans="1:7" s="140" customFormat="1" ht="30" x14ac:dyDescent="0.25">
      <c r="A304" s="167" t="s">
        <v>353</v>
      </c>
      <c r="B304" s="168" t="s">
        <v>354</v>
      </c>
      <c r="C304" s="168"/>
      <c r="D304" s="47" t="s">
        <v>61</v>
      </c>
      <c r="E304" s="299">
        <f>(4.2+0.5)*(3.6+0.5)*0.3</f>
        <v>5.7809999999999997</v>
      </c>
      <c r="F304" s="169"/>
      <c r="G304" s="170">
        <f t="shared" si="13"/>
        <v>0</v>
      </c>
    </row>
    <row r="305" spans="1:7" s="140" customFormat="1" ht="18" x14ac:dyDescent="0.25">
      <c r="A305" s="167" t="s">
        <v>355</v>
      </c>
      <c r="B305" s="168" t="s">
        <v>356</v>
      </c>
      <c r="C305" s="168"/>
      <c r="D305" s="47" t="s">
        <v>61</v>
      </c>
      <c r="E305" s="299">
        <f>(4.2+0.5)*(3.2+0.5)*0.05</f>
        <v>0.86950000000000005</v>
      </c>
      <c r="F305" s="169"/>
      <c r="G305" s="170">
        <f t="shared" si="13"/>
        <v>0</v>
      </c>
    </row>
    <row r="306" spans="1:7" s="140" customFormat="1" ht="18" x14ac:dyDescent="0.25">
      <c r="A306" s="167" t="s">
        <v>357</v>
      </c>
      <c r="B306" s="168" t="s">
        <v>358</v>
      </c>
      <c r="C306" s="168"/>
      <c r="D306" s="47" t="s">
        <v>61</v>
      </c>
      <c r="E306" s="299">
        <f>(4.5*3.9)*0.25</f>
        <v>4.3875000000000002</v>
      </c>
      <c r="F306" s="169"/>
      <c r="G306" s="170">
        <f t="shared" si="13"/>
        <v>0</v>
      </c>
    </row>
    <row r="307" spans="1:7" s="140" customFormat="1" ht="18" x14ac:dyDescent="0.25">
      <c r="A307" s="167" t="s">
        <v>359</v>
      </c>
      <c r="B307" s="168" t="s">
        <v>360</v>
      </c>
      <c r="C307" s="168"/>
      <c r="D307" s="47" t="s">
        <v>61</v>
      </c>
      <c r="E307" s="299">
        <f>4.2*3.6*0.15</f>
        <v>2.2680000000000002</v>
      </c>
      <c r="F307" s="169"/>
      <c r="G307" s="170">
        <f t="shared" si="13"/>
        <v>0</v>
      </c>
    </row>
    <row r="308" spans="1:7" s="140" customFormat="1" ht="18" x14ac:dyDescent="0.25">
      <c r="A308" s="167" t="s">
        <v>361</v>
      </c>
      <c r="B308" s="168" t="s">
        <v>362</v>
      </c>
      <c r="C308" s="168"/>
      <c r="D308" s="47" t="s">
        <v>61</v>
      </c>
      <c r="E308" s="299">
        <f>+(4.2+3.6)*2</f>
        <v>15.600000000000001</v>
      </c>
      <c r="F308" s="169"/>
      <c r="G308" s="170">
        <f t="shared" si="13"/>
        <v>0</v>
      </c>
    </row>
    <row r="309" spans="1:7" s="140" customFormat="1" ht="18" x14ac:dyDescent="0.25">
      <c r="A309" s="167" t="s">
        <v>363</v>
      </c>
      <c r="B309" s="168" t="s">
        <v>364</v>
      </c>
      <c r="C309" s="168"/>
      <c r="D309" s="47" t="s">
        <v>61</v>
      </c>
      <c r="E309" s="299">
        <f>+(4.2*3.2*0.2)*2+(3.6*3.2*0.2)*2</f>
        <v>9.9840000000000018</v>
      </c>
      <c r="F309" s="169"/>
      <c r="G309" s="170">
        <f t="shared" si="13"/>
        <v>0</v>
      </c>
    </row>
    <row r="310" spans="1:7" s="140" customFormat="1" ht="18" x14ac:dyDescent="0.25">
      <c r="A310" s="167" t="s">
        <v>365</v>
      </c>
      <c r="B310" s="168" t="s">
        <v>366</v>
      </c>
      <c r="C310" s="168"/>
      <c r="D310" s="47" t="s">
        <v>172</v>
      </c>
      <c r="E310" s="299">
        <f>+(4.2*3.2)*2+(3.6*3.2)*2+(4.2*3.6)</f>
        <v>65.040000000000006</v>
      </c>
      <c r="F310" s="169"/>
      <c r="G310" s="170">
        <f t="shared" si="13"/>
        <v>0</v>
      </c>
    </row>
    <row r="311" spans="1:7" s="140" customFormat="1" ht="18" x14ac:dyDescent="0.25">
      <c r="A311" s="167" t="s">
        <v>367</v>
      </c>
      <c r="B311" s="168" t="s">
        <v>368</v>
      </c>
      <c r="C311" s="168"/>
      <c r="D311" s="47" t="s">
        <v>172</v>
      </c>
      <c r="E311" s="299">
        <f>+E310</f>
        <v>65.040000000000006</v>
      </c>
      <c r="F311" s="169"/>
      <c r="G311" s="170">
        <f t="shared" si="13"/>
        <v>0</v>
      </c>
    </row>
    <row r="312" spans="1:7" s="140" customFormat="1" ht="18" x14ac:dyDescent="0.25">
      <c r="A312" s="167" t="s">
        <v>369</v>
      </c>
      <c r="B312" s="168" t="s">
        <v>370</v>
      </c>
      <c r="C312" s="168"/>
      <c r="D312" s="47" t="s">
        <v>172</v>
      </c>
      <c r="E312" s="299">
        <f>+E311</f>
        <v>65.040000000000006</v>
      </c>
      <c r="F312" s="169"/>
      <c r="G312" s="170">
        <f t="shared" si="13"/>
        <v>0</v>
      </c>
    </row>
    <row r="313" spans="1:7" s="140" customFormat="1" ht="18" x14ac:dyDescent="0.25">
      <c r="A313" s="167" t="s">
        <v>371</v>
      </c>
      <c r="B313" s="168" t="s">
        <v>372</v>
      </c>
      <c r="C313" s="168"/>
      <c r="D313" s="47" t="s">
        <v>172</v>
      </c>
      <c r="E313" s="299">
        <f>+(4.2*3.6)</f>
        <v>15.120000000000001</v>
      </c>
      <c r="F313" s="169"/>
      <c r="G313" s="170">
        <f t="shared" si="13"/>
        <v>0</v>
      </c>
    </row>
    <row r="314" spans="1:7" s="140" customFormat="1" ht="18" x14ac:dyDescent="0.25">
      <c r="A314" s="167" t="s">
        <v>373</v>
      </c>
      <c r="B314" s="168" t="s">
        <v>374</v>
      </c>
      <c r="C314" s="168"/>
      <c r="D314" s="47" t="s">
        <v>172</v>
      </c>
      <c r="E314" s="299">
        <f>4.2*3.6</f>
        <v>15.120000000000001</v>
      </c>
      <c r="F314" s="169"/>
      <c r="G314" s="170">
        <f t="shared" si="13"/>
        <v>0</v>
      </c>
    </row>
    <row r="315" spans="1:7" s="140" customFormat="1" ht="18" x14ac:dyDescent="0.25">
      <c r="A315" s="167" t="s">
        <v>375</v>
      </c>
      <c r="B315" s="168" t="s">
        <v>376</v>
      </c>
      <c r="C315" s="168"/>
      <c r="D315" s="47" t="s">
        <v>172</v>
      </c>
      <c r="E315" s="299">
        <f>4.2*3.6</f>
        <v>15.120000000000001</v>
      </c>
      <c r="F315" s="169"/>
      <c r="G315" s="170">
        <f t="shared" si="13"/>
        <v>0</v>
      </c>
    </row>
    <row r="316" spans="1:7" s="140" customFormat="1" x14ac:dyDescent="0.25">
      <c r="A316" s="167" t="s">
        <v>377</v>
      </c>
      <c r="B316" s="168" t="s">
        <v>378</v>
      </c>
      <c r="C316" s="168"/>
      <c r="D316" s="47" t="s">
        <v>379</v>
      </c>
      <c r="E316" s="299">
        <v>6</v>
      </c>
      <c r="F316" s="169"/>
      <c r="G316" s="170">
        <f t="shared" si="13"/>
        <v>0</v>
      </c>
    </row>
    <row r="317" spans="1:7" s="94" customFormat="1" x14ac:dyDescent="0.25">
      <c r="A317" s="167" t="s">
        <v>380</v>
      </c>
      <c r="B317" s="168" t="s">
        <v>381</v>
      </c>
      <c r="C317" s="168"/>
      <c r="D317" s="47" t="s">
        <v>127</v>
      </c>
      <c r="E317" s="299">
        <v>2</v>
      </c>
      <c r="F317" s="169"/>
      <c r="G317" s="170">
        <f t="shared" si="13"/>
        <v>0</v>
      </c>
    </row>
    <row r="318" spans="1:7" s="140" customFormat="1" x14ac:dyDescent="0.25">
      <c r="A318" s="167" t="s">
        <v>382</v>
      </c>
      <c r="B318" s="168" t="s">
        <v>383</v>
      </c>
      <c r="C318" s="168"/>
      <c r="D318" s="47" t="s">
        <v>127</v>
      </c>
      <c r="E318" s="299">
        <v>1</v>
      </c>
      <c r="F318" s="169"/>
      <c r="G318" s="170">
        <f t="shared" si="13"/>
        <v>0</v>
      </c>
    </row>
    <row r="319" spans="1:7" s="140" customFormat="1" x14ac:dyDescent="0.25">
      <c r="A319" s="167" t="s">
        <v>384</v>
      </c>
      <c r="B319" s="168" t="s">
        <v>385</v>
      </c>
      <c r="C319" s="168"/>
      <c r="D319" s="47" t="s">
        <v>386</v>
      </c>
      <c r="E319" s="299">
        <v>1</v>
      </c>
      <c r="F319" s="169"/>
      <c r="G319" s="170">
        <f t="shared" si="13"/>
        <v>0</v>
      </c>
    </row>
    <row r="320" spans="1:7" s="140" customFormat="1" ht="30" x14ac:dyDescent="0.25">
      <c r="A320" s="167" t="s">
        <v>387</v>
      </c>
      <c r="B320" s="168" t="s">
        <v>388</v>
      </c>
      <c r="C320" s="168"/>
      <c r="D320" s="47" t="s">
        <v>127</v>
      </c>
      <c r="E320" s="299">
        <v>1</v>
      </c>
      <c r="F320" s="169"/>
      <c r="G320" s="170">
        <f t="shared" si="13"/>
        <v>0</v>
      </c>
    </row>
    <row r="321" spans="1:7" s="140" customFormat="1" x14ac:dyDescent="0.25">
      <c r="A321" s="171"/>
      <c r="B321" s="172" t="s">
        <v>389</v>
      </c>
      <c r="C321" s="172"/>
      <c r="D321" s="173"/>
      <c r="E321" s="343"/>
      <c r="F321" s="172"/>
      <c r="G321" s="174">
        <f>+SUM(G300:G320)*2</f>
        <v>0</v>
      </c>
    </row>
    <row r="322" spans="1:7" s="140" customFormat="1" x14ac:dyDescent="0.25">
      <c r="A322" s="175"/>
      <c r="B322" s="176" t="s">
        <v>390</v>
      </c>
      <c r="C322" s="176"/>
      <c r="D322" s="47"/>
      <c r="E322" s="299"/>
      <c r="F322" s="169"/>
      <c r="G322" s="170"/>
    </row>
    <row r="323" spans="1:7" s="140" customFormat="1" ht="18" x14ac:dyDescent="0.25">
      <c r="A323" s="167" t="s">
        <v>391</v>
      </c>
      <c r="B323" s="168" t="s">
        <v>159</v>
      </c>
      <c r="C323" s="168"/>
      <c r="D323" s="47" t="s">
        <v>61</v>
      </c>
      <c r="E323" s="299">
        <f>(2.4+0.5)*(2.9+0.5)*1</f>
        <v>9.86</v>
      </c>
      <c r="F323" s="169"/>
      <c r="G323" s="170">
        <f t="shared" ref="G323:G332" si="14">F323*E323</f>
        <v>0</v>
      </c>
    </row>
    <row r="324" spans="1:7" s="140" customFormat="1" ht="18" x14ac:dyDescent="0.25">
      <c r="A324" s="167" t="s">
        <v>392</v>
      </c>
      <c r="B324" s="168" t="s">
        <v>393</v>
      </c>
      <c r="C324" s="168"/>
      <c r="D324" s="47" t="s">
        <v>61</v>
      </c>
      <c r="E324" s="299">
        <f>(2.25+0.5)*(2.6+0.5)*0.3</f>
        <v>2.5575000000000001</v>
      </c>
      <c r="F324" s="169"/>
      <c r="G324" s="170">
        <f t="shared" si="14"/>
        <v>0</v>
      </c>
    </row>
    <row r="325" spans="1:7" s="140" customFormat="1" ht="18" x14ac:dyDescent="0.25">
      <c r="A325" s="167" t="s">
        <v>394</v>
      </c>
      <c r="B325" s="168" t="s">
        <v>395</v>
      </c>
      <c r="C325" s="168"/>
      <c r="D325" s="47" t="s">
        <v>61</v>
      </c>
      <c r="E325" s="299">
        <f>(2.25+0.5)*(2.6+0.5)*0.05</f>
        <v>0.42625000000000002</v>
      </c>
      <c r="F325" s="169"/>
      <c r="G325" s="170">
        <f t="shared" si="14"/>
        <v>0</v>
      </c>
    </row>
    <row r="326" spans="1:7" s="140" customFormat="1" ht="18" x14ac:dyDescent="0.25">
      <c r="A326" s="167" t="s">
        <v>396</v>
      </c>
      <c r="B326" s="168" t="s">
        <v>397</v>
      </c>
      <c r="C326" s="168"/>
      <c r="D326" s="47" t="s">
        <v>61</v>
      </c>
      <c r="E326" s="299">
        <f>(2.4*2.9)*0.2+(2.25*2.6)*0.15</f>
        <v>2.2695000000000003</v>
      </c>
      <c r="F326" s="169"/>
      <c r="G326" s="170">
        <f t="shared" si="14"/>
        <v>0</v>
      </c>
    </row>
    <row r="327" spans="1:7" s="140" customFormat="1" ht="18" x14ac:dyDescent="0.25">
      <c r="A327" s="167" t="s">
        <v>398</v>
      </c>
      <c r="B327" s="168" t="s">
        <v>399</v>
      </c>
      <c r="C327" s="168"/>
      <c r="D327" s="47" t="s">
        <v>61</v>
      </c>
      <c r="E327" s="299">
        <f>+(2.25*4.4*0.2)*2+(2.6*4.4*0.2)*2</f>
        <v>8.5360000000000014</v>
      </c>
      <c r="F327" s="169"/>
      <c r="G327" s="170">
        <f t="shared" si="14"/>
        <v>0</v>
      </c>
    </row>
    <row r="328" spans="1:7" s="140" customFormat="1" ht="30" x14ac:dyDescent="0.25">
      <c r="A328" s="167" t="s">
        <v>400</v>
      </c>
      <c r="B328" s="168" t="s">
        <v>401</v>
      </c>
      <c r="C328" s="168"/>
      <c r="D328" s="47" t="s">
        <v>172</v>
      </c>
      <c r="E328" s="299">
        <f>+(2.25*4.4)*2+(2.6*4.4)*2</f>
        <v>42.680000000000007</v>
      </c>
      <c r="F328" s="169"/>
      <c r="G328" s="170">
        <f t="shared" si="14"/>
        <v>0</v>
      </c>
    </row>
    <row r="329" spans="1:7" s="140" customFormat="1" x14ac:dyDescent="0.25">
      <c r="A329" s="167" t="s">
        <v>402</v>
      </c>
      <c r="B329" s="168" t="s">
        <v>403</v>
      </c>
      <c r="C329" s="168"/>
      <c r="D329" s="47" t="s">
        <v>379</v>
      </c>
      <c r="E329" s="299">
        <v>0.5</v>
      </c>
      <c r="F329" s="169"/>
      <c r="G329" s="170">
        <f t="shared" si="14"/>
        <v>0</v>
      </c>
    </row>
    <row r="330" spans="1:7" s="140" customFormat="1" x14ac:dyDescent="0.25">
      <c r="A330" s="167" t="s">
        <v>404</v>
      </c>
      <c r="B330" s="168" t="s">
        <v>405</v>
      </c>
      <c r="C330" s="168"/>
      <c r="D330" s="47" t="s">
        <v>127</v>
      </c>
      <c r="E330" s="299">
        <v>1</v>
      </c>
      <c r="F330" s="169"/>
      <c r="G330" s="170">
        <f t="shared" si="14"/>
        <v>0</v>
      </c>
    </row>
    <row r="331" spans="1:7" s="140" customFormat="1" x14ac:dyDescent="0.25">
      <c r="A331" s="167" t="s">
        <v>406</v>
      </c>
      <c r="B331" s="168" t="s">
        <v>407</v>
      </c>
      <c r="C331" s="168"/>
      <c r="D331" s="47" t="s">
        <v>386</v>
      </c>
      <c r="E331" s="299">
        <v>1</v>
      </c>
      <c r="F331" s="169"/>
      <c r="G331" s="170">
        <f t="shared" si="14"/>
        <v>0</v>
      </c>
    </row>
    <row r="332" spans="1:7" s="140" customFormat="1" x14ac:dyDescent="0.25">
      <c r="A332" s="167" t="s">
        <v>408</v>
      </c>
      <c r="B332" s="177" t="s">
        <v>409</v>
      </c>
      <c r="C332" s="177"/>
      <c r="D332" s="47" t="s">
        <v>127</v>
      </c>
      <c r="E332" s="299">
        <v>1</v>
      </c>
      <c r="F332" s="169"/>
      <c r="G332" s="170">
        <f t="shared" si="14"/>
        <v>0</v>
      </c>
    </row>
    <row r="333" spans="1:7" s="140" customFormat="1" x14ac:dyDescent="0.25">
      <c r="A333" s="171"/>
      <c r="B333" s="172" t="s">
        <v>410</v>
      </c>
      <c r="C333" s="172"/>
      <c r="D333" s="173"/>
      <c r="E333" s="343"/>
      <c r="F333" s="172"/>
      <c r="G333" s="174">
        <f>+SUM(G323:G332)</f>
        <v>0</v>
      </c>
    </row>
    <row r="334" spans="1:7" s="140" customFormat="1" ht="18" x14ac:dyDescent="0.25">
      <c r="A334" s="167" t="s">
        <v>411</v>
      </c>
      <c r="B334" s="178" t="s">
        <v>412</v>
      </c>
      <c r="C334" s="178"/>
      <c r="D334" s="179" t="s">
        <v>49</v>
      </c>
      <c r="E334" s="344">
        <v>1</v>
      </c>
      <c r="F334" s="179"/>
      <c r="G334" s="180">
        <f>F334*E334</f>
        <v>0</v>
      </c>
    </row>
    <row r="335" spans="1:7" s="140" customFormat="1" x14ac:dyDescent="0.25">
      <c r="A335" s="175"/>
      <c r="B335" s="176" t="s">
        <v>413</v>
      </c>
      <c r="C335" s="176"/>
      <c r="D335" s="47"/>
      <c r="E335" s="299"/>
      <c r="F335" s="169"/>
      <c r="G335" s="170"/>
    </row>
    <row r="336" spans="1:7" s="140" customFormat="1" ht="30" x14ac:dyDescent="0.25">
      <c r="A336" s="167" t="s">
        <v>414</v>
      </c>
      <c r="B336" s="168" t="s">
        <v>236</v>
      </c>
      <c r="C336" s="168"/>
      <c r="D336" s="47" t="s">
        <v>61</v>
      </c>
      <c r="E336" s="299">
        <f xml:space="preserve"> (1+0.8)*(1+2.15)*1</f>
        <v>5.67</v>
      </c>
      <c r="F336" s="169"/>
      <c r="G336" s="170">
        <f>F336*E336</f>
        <v>0</v>
      </c>
    </row>
    <row r="337" spans="1:7" s="140" customFormat="1" ht="30" x14ac:dyDescent="0.25">
      <c r="A337" s="167" t="s">
        <v>415</v>
      </c>
      <c r="B337" s="168" t="s">
        <v>354</v>
      </c>
      <c r="C337" s="168"/>
      <c r="D337" s="47" t="s">
        <v>61</v>
      </c>
      <c r="E337" s="299">
        <f>((1.2*2.35)-2*(0.2*1.55))*0.3</f>
        <v>0.65999999999999992</v>
      </c>
      <c r="F337" s="169"/>
      <c r="G337" s="170">
        <f>F337*E337</f>
        <v>0</v>
      </c>
    </row>
    <row r="338" spans="1:7" s="140" customFormat="1" ht="18" x14ac:dyDescent="0.25">
      <c r="A338" s="167" t="s">
        <v>416</v>
      </c>
      <c r="B338" s="168" t="s">
        <v>417</v>
      </c>
      <c r="C338" s="168"/>
      <c r="D338" s="47" t="s">
        <v>61</v>
      </c>
      <c r="E338" s="299">
        <f>E337/0.2*0.05*1.05</f>
        <v>0.17324999999999999</v>
      </c>
      <c r="F338" s="169"/>
      <c r="G338" s="170">
        <f>F338*E338</f>
        <v>0</v>
      </c>
    </row>
    <row r="339" spans="1:7" s="140" customFormat="1" ht="18" x14ac:dyDescent="0.25">
      <c r="A339" s="167" t="s">
        <v>418</v>
      </c>
      <c r="B339" s="168" t="s">
        <v>419</v>
      </c>
      <c r="C339" s="168"/>
      <c r="D339" s="47" t="s">
        <v>61</v>
      </c>
      <c r="E339" s="299">
        <f>E338/0.05*0.1</f>
        <v>0.34649999999999997</v>
      </c>
      <c r="F339" s="169"/>
      <c r="G339" s="170">
        <f>F339*E339</f>
        <v>0</v>
      </c>
    </row>
    <row r="340" spans="1:7" s="140" customFormat="1" ht="18" x14ac:dyDescent="0.25">
      <c r="A340" s="167" t="s">
        <v>420</v>
      </c>
      <c r="B340" s="168" t="s">
        <v>421</v>
      </c>
      <c r="C340" s="168"/>
      <c r="D340" s="47" t="s">
        <v>61</v>
      </c>
      <c r="E340" s="299">
        <f xml:space="preserve"> 0.3*(((0.8+0.6)*0.2)-(0.2*0.2))+2*(1.55*2)*0.1*0.1</f>
        <v>0.13400000000000001</v>
      </c>
      <c r="F340" s="169"/>
      <c r="G340" s="170">
        <f>F340*E340</f>
        <v>0</v>
      </c>
    </row>
    <row r="341" spans="1:7" s="140" customFormat="1" x14ac:dyDescent="0.25">
      <c r="A341" s="171"/>
      <c r="B341" s="172" t="s">
        <v>422</v>
      </c>
      <c r="C341" s="172"/>
      <c r="D341" s="173"/>
      <c r="E341" s="343"/>
      <c r="F341" s="172"/>
      <c r="G341" s="174">
        <f>+SUM(G336:G340)</f>
        <v>0</v>
      </c>
    </row>
    <row r="342" spans="1:7" s="140" customFormat="1" x14ac:dyDescent="0.25">
      <c r="A342" s="181"/>
      <c r="B342" s="176" t="s">
        <v>423</v>
      </c>
      <c r="C342" s="176"/>
      <c r="D342" s="47"/>
      <c r="E342" s="299"/>
      <c r="F342" s="169"/>
      <c r="G342" s="170"/>
    </row>
    <row r="343" spans="1:7" s="140" customFormat="1" x14ac:dyDescent="0.25">
      <c r="A343" s="181"/>
      <c r="B343" s="176" t="s">
        <v>424</v>
      </c>
      <c r="C343" s="176"/>
      <c r="D343" s="47"/>
      <c r="E343" s="299"/>
      <c r="F343" s="169"/>
      <c r="G343" s="170"/>
    </row>
    <row r="344" spans="1:7" s="140" customFormat="1" x14ac:dyDescent="0.25">
      <c r="A344" s="167" t="s">
        <v>425</v>
      </c>
      <c r="B344" s="168" t="s">
        <v>426</v>
      </c>
      <c r="C344" s="168"/>
      <c r="D344" s="51" t="s">
        <v>281</v>
      </c>
      <c r="E344" s="299">
        <f>+(33.3*1.2*0.6)</f>
        <v>23.975999999999996</v>
      </c>
      <c r="F344" s="169"/>
      <c r="G344" s="170">
        <f t="shared" ref="G344:G350" si="15">F344*E344</f>
        <v>0</v>
      </c>
    </row>
    <row r="345" spans="1:7" s="140" customFormat="1" x14ac:dyDescent="0.25">
      <c r="A345" s="167" t="s">
        <v>427</v>
      </c>
      <c r="B345" s="54" t="s">
        <v>395</v>
      </c>
      <c r="C345" s="54"/>
      <c r="D345" s="51" t="s">
        <v>281</v>
      </c>
      <c r="E345" s="299">
        <f>+(33.3*0.612*0.05)+(27.24*0.25*0.05)</f>
        <v>1.3594799999999998</v>
      </c>
      <c r="F345" s="169"/>
      <c r="G345" s="170">
        <f t="shared" si="15"/>
        <v>0</v>
      </c>
    </row>
    <row r="346" spans="1:7" s="140" customFormat="1" x14ac:dyDescent="0.25">
      <c r="A346" s="167" t="s">
        <v>428</v>
      </c>
      <c r="B346" s="54" t="s">
        <v>429</v>
      </c>
      <c r="C346" s="54"/>
      <c r="D346" s="51" t="s">
        <v>281</v>
      </c>
      <c r="E346" s="299">
        <f>+(33.3*0.2*0.2)+(27.24*0.25*0.1)</f>
        <v>2.0129999999999999</v>
      </c>
      <c r="F346" s="169"/>
      <c r="G346" s="170">
        <f t="shared" si="15"/>
        <v>0</v>
      </c>
    </row>
    <row r="347" spans="1:7" s="140" customFormat="1" x14ac:dyDescent="0.25">
      <c r="A347" s="167" t="s">
        <v>430</v>
      </c>
      <c r="B347" s="168" t="s">
        <v>431</v>
      </c>
      <c r="C347" s="168"/>
      <c r="D347" s="51" t="s">
        <v>281</v>
      </c>
      <c r="E347" s="299">
        <f>+((33.3*0.7*0.4)-(0.3+0.2)*0.1*33.3)</f>
        <v>7.658999999999998</v>
      </c>
      <c r="F347" s="169"/>
      <c r="G347" s="170">
        <f t="shared" si="15"/>
        <v>0</v>
      </c>
    </row>
    <row r="348" spans="1:7" s="140" customFormat="1" x14ac:dyDescent="0.25">
      <c r="A348" s="167" t="s">
        <v>432</v>
      </c>
      <c r="B348" s="54" t="s">
        <v>433</v>
      </c>
      <c r="C348" s="54"/>
      <c r="D348" s="51" t="s">
        <v>281</v>
      </c>
      <c r="E348" s="299">
        <f>+(0.3*33.3*2*0.05)+(27.24*0.25*0.05)</f>
        <v>1.3394999999999999</v>
      </c>
      <c r="F348" s="169"/>
      <c r="G348" s="170">
        <f t="shared" si="15"/>
        <v>0</v>
      </c>
    </row>
    <row r="349" spans="1:7" s="94" customFormat="1" x14ac:dyDescent="0.25">
      <c r="A349" s="167" t="s">
        <v>434</v>
      </c>
      <c r="B349" s="54" t="s">
        <v>435</v>
      </c>
      <c r="C349" s="54"/>
      <c r="D349" s="51" t="s">
        <v>281</v>
      </c>
      <c r="E349" s="299">
        <f>+(0.612*33.3)+(27.24*0.25)</f>
        <v>27.189599999999995</v>
      </c>
      <c r="F349" s="169"/>
      <c r="G349" s="170">
        <f t="shared" si="15"/>
        <v>0</v>
      </c>
    </row>
    <row r="350" spans="1:7" s="94" customFormat="1" x14ac:dyDescent="0.25">
      <c r="A350" s="167" t="s">
        <v>436</v>
      </c>
      <c r="B350" s="168" t="s">
        <v>437</v>
      </c>
      <c r="C350" s="168"/>
      <c r="D350" s="51" t="s">
        <v>379</v>
      </c>
      <c r="E350" s="299">
        <v>1.5</v>
      </c>
      <c r="F350" s="169"/>
      <c r="G350" s="170">
        <f t="shared" si="15"/>
        <v>0</v>
      </c>
    </row>
    <row r="351" spans="1:7" s="94" customFormat="1" x14ac:dyDescent="0.25">
      <c r="A351" s="182"/>
      <c r="B351" s="172" t="s">
        <v>438</v>
      </c>
      <c r="C351" s="172"/>
      <c r="D351" s="173"/>
      <c r="E351" s="343"/>
      <c r="F351" s="172"/>
      <c r="G351" s="174">
        <f>+SUM(G344:G350)</f>
        <v>0</v>
      </c>
    </row>
    <row r="352" spans="1:7" s="183" customFormat="1" ht="15.75" x14ac:dyDescent="0.25">
      <c r="A352" s="181"/>
      <c r="B352" s="176" t="s">
        <v>439</v>
      </c>
      <c r="C352" s="176"/>
      <c r="D352" s="47"/>
      <c r="E352" s="299"/>
      <c r="F352" s="169"/>
      <c r="G352" s="170"/>
    </row>
    <row r="353" spans="1:7" s="183" customFormat="1" ht="30" x14ac:dyDescent="0.25">
      <c r="A353" s="167" t="s">
        <v>440</v>
      </c>
      <c r="B353" s="168" t="s">
        <v>346</v>
      </c>
      <c r="C353" s="168"/>
      <c r="D353" s="51" t="s">
        <v>287</v>
      </c>
      <c r="E353" s="299">
        <f>3.14*2*2/4</f>
        <v>3.14</v>
      </c>
      <c r="F353" s="169"/>
      <c r="G353" s="170">
        <f t="shared" ref="G353:G359" si="16">F353*E353</f>
        <v>0</v>
      </c>
    </row>
    <row r="354" spans="1:7" s="183" customFormat="1" ht="15.75" x14ac:dyDescent="0.25">
      <c r="A354" s="167" t="s">
        <v>441</v>
      </c>
      <c r="B354" s="168" t="s">
        <v>348</v>
      </c>
      <c r="C354" s="168"/>
      <c r="D354" s="51" t="s">
        <v>281</v>
      </c>
      <c r="E354" s="299">
        <f>+E353*0.2</f>
        <v>0.62800000000000011</v>
      </c>
      <c r="F354" s="169"/>
      <c r="G354" s="170">
        <f t="shared" si="16"/>
        <v>0</v>
      </c>
    </row>
    <row r="355" spans="1:7" s="183" customFormat="1" ht="15.75" x14ac:dyDescent="0.25">
      <c r="A355" s="167" t="s">
        <v>442</v>
      </c>
      <c r="B355" s="168" t="s">
        <v>443</v>
      </c>
      <c r="C355" s="168"/>
      <c r="D355" s="51" t="s">
        <v>281</v>
      </c>
      <c r="E355" s="299">
        <f>+E353*10+(3.14*1.8*1.8/4)*1</f>
        <v>33.943400000000004</v>
      </c>
      <c r="F355" s="169"/>
      <c r="G355" s="170">
        <f t="shared" si="16"/>
        <v>0</v>
      </c>
    </row>
    <row r="356" spans="1:7" s="183" customFormat="1" ht="15.75" x14ac:dyDescent="0.25">
      <c r="A356" s="167" t="s">
        <v>444</v>
      </c>
      <c r="B356" s="168" t="s">
        <v>445</v>
      </c>
      <c r="C356" s="168"/>
      <c r="D356" s="51" t="s">
        <v>281</v>
      </c>
      <c r="E356" s="299">
        <f>+(3.14*1.8)*1*0.3</f>
        <v>1.6956</v>
      </c>
      <c r="F356" s="169"/>
      <c r="G356" s="170">
        <f t="shared" si="16"/>
        <v>0</v>
      </c>
    </row>
    <row r="357" spans="1:7" s="183" customFormat="1" ht="15.75" x14ac:dyDescent="0.25">
      <c r="A357" s="167" t="s">
        <v>446</v>
      </c>
      <c r="B357" s="168" t="s">
        <v>447</v>
      </c>
      <c r="C357" s="168"/>
      <c r="D357" s="51" t="s">
        <v>281</v>
      </c>
      <c r="E357" s="299">
        <f>+(3.14*1.8*1.8/4)*0.1</f>
        <v>0.25434000000000001</v>
      </c>
      <c r="F357" s="169"/>
      <c r="G357" s="170">
        <f t="shared" si="16"/>
        <v>0</v>
      </c>
    </row>
    <row r="358" spans="1:7" s="183" customFormat="1" ht="15.75" x14ac:dyDescent="0.25">
      <c r="A358" s="167" t="s">
        <v>448</v>
      </c>
      <c r="B358" s="168" t="s">
        <v>449</v>
      </c>
      <c r="C358" s="168"/>
      <c r="D358" s="51" t="s">
        <v>379</v>
      </c>
      <c r="E358" s="299">
        <v>1.5</v>
      </c>
      <c r="F358" s="169"/>
      <c r="G358" s="170">
        <f t="shared" si="16"/>
        <v>0</v>
      </c>
    </row>
    <row r="359" spans="1:7" s="183" customFormat="1" ht="15.75" x14ac:dyDescent="0.25">
      <c r="A359" s="167" t="s">
        <v>450</v>
      </c>
      <c r="B359" s="168" t="s">
        <v>451</v>
      </c>
      <c r="C359" s="168"/>
      <c r="D359" s="51" t="s">
        <v>281</v>
      </c>
      <c r="E359" s="299">
        <f>0.3*0.3*0.5</f>
        <v>4.4999999999999998E-2</v>
      </c>
      <c r="F359" s="169"/>
      <c r="G359" s="170">
        <f t="shared" si="16"/>
        <v>0</v>
      </c>
    </row>
    <row r="360" spans="1:7" s="183" customFormat="1" ht="15.75" x14ac:dyDescent="0.25">
      <c r="A360" s="182"/>
      <c r="B360" s="172" t="s">
        <v>452</v>
      </c>
      <c r="C360" s="172"/>
      <c r="D360" s="173"/>
      <c r="E360" s="343"/>
      <c r="F360" s="172"/>
      <c r="G360" s="174">
        <f>+SUM(G353:G359)</f>
        <v>0</v>
      </c>
    </row>
    <row r="361" spans="1:7" s="183" customFormat="1" ht="15.75" x14ac:dyDescent="0.25">
      <c r="A361" s="182"/>
      <c r="B361" s="172" t="s">
        <v>453</v>
      </c>
      <c r="C361" s="172"/>
      <c r="D361" s="173"/>
      <c r="E361" s="343"/>
      <c r="F361" s="172"/>
      <c r="G361" s="174">
        <f>+G351+G360</f>
        <v>0</v>
      </c>
    </row>
    <row r="362" spans="1:7" s="183" customFormat="1" ht="15.75" x14ac:dyDescent="0.25">
      <c r="A362" s="39"/>
      <c r="B362" s="176" t="s">
        <v>454</v>
      </c>
      <c r="C362" s="176"/>
      <c r="D362" s="47"/>
      <c r="E362" s="299"/>
      <c r="F362" s="169"/>
      <c r="G362" s="170"/>
    </row>
    <row r="363" spans="1:7" s="183" customFormat="1" ht="18" x14ac:dyDescent="0.25">
      <c r="A363" s="167" t="s">
        <v>455</v>
      </c>
      <c r="B363" s="168" t="s">
        <v>456</v>
      </c>
      <c r="C363" s="168"/>
      <c r="D363" s="47" t="s">
        <v>172</v>
      </c>
      <c r="E363" s="299">
        <v>55</v>
      </c>
      <c r="F363" s="169"/>
      <c r="G363" s="170">
        <f>+E363*F363</f>
        <v>0</v>
      </c>
    </row>
    <row r="364" spans="1:7" s="183" customFormat="1" ht="18" x14ac:dyDescent="0.25">
      <c r="A364" s="167" t="s">
        <v>457</v>
      </c>
      <c r="B364" s="168" t="s">
        <v>458</v>
      </c>
      <c r="C364" s="168"/>
      <c r="D364" s="47" t="s">
        <v>172</v>
      </c>
      <c r="E364" s="299">
        <v>290</v>
      </c>
      <c r="F364" s="169"/>
      <c r="G364" s="170">
        <f>+E364*F364</f>
        <v>0</v>
      </c>
    </row>
    <row r="365" spans="1:7" s="183" customFormat="1" ht="15.75" x14ac:dyDescent="0.25">
      <c r="A365" s="184"/>
      <c r="B365" s="185" t="s">
        <v>459</v>
      </c>
      <c r="C365" s="185"/>
      <c r="D365" s="173"/>
      <c r="E365" s="342"/>
      <c r="F365" s="172"/>
      <c r="G365" s="186">
        <f>SUM(G363:G364)</f>
        <v>0</v>
      </c>
    </row>
    <row r="366" spans="1:7" s="183" customFormat="1" ht="15.75" x14ac:dyDescent="0.25">
      <c r="A366" s="99"/>
      <c r="B366" s="76" t="s">
        <v>460</v>
      </c>
      <c r="C366" s="76"/>
      <c r="D366" s="101"/>
      <c r="E366" s="313"/>
      <c r="F366" s="101"/>
      <c r="G366" s="102">
        <f>SUM(+G365+G361+G341+G334+G333+G321)</f>
        <v>0</v>
      </c>
    </row>
    <row r="367" spans="1:7" s="183" customFormat="1" ht="16.5" x14ac:dyDescent="0.25">
      <c r="A367" s="99"/>
      <c r="B367" s="104" t="s">
        <v>461</v>
      </c>
      <c r="C367" s="104"/>
      <c r="D367" s="105"/>
      <c r="E367" s="314">
        <v>2</v>
      </c>
      <c r="F367" s="105"/>
      <c r="G367" s="106">
        <f>G366*E367</f>
        <v>0</v>
      </c>
    </row>
    <row r="368" spans="1:7" s="183" customFormat="1" ht="15.75" x14ac:dyDescent="0.25">
      <c r="A368" s="69"/>
      <c r="B368" s="76"/>
      <c r="C368" s="76"/>
      <c r="D368" s="53"/>
      <c r="E368" s="301"/>
      <c r="F368" s="53"/>
      <c r="G368" s="77"/>
    </row>
    <row r="369" spans="1:7" s="183" customFormat="1" ht="15.75" x14ac:dyDescent="0.25">
      <c r="A369" s="187">
        <v>6.2</v>
      </c>
      <c r="B369" s="188" t="s">
        <v>462</v>
      </c>
      <c r="C369" s="188"/>
      <c r="D369" s="189"/>
      <c r="E369" s="345"/>
      <c r="F369" s="190"/>
      <c r="G369" s="191"/>
    </row>
    <row r="370" spans="1:7" s="183" customFormat="1" ht="15.75" x14ac:dyDescent="0.25">
      <c r="A370" s="192" t="s">
        <v>463</v>
      </c>
      <c r="B370" s="162" t="s">
        <v>464</v>
      </c>
      <c r="C370" s="162"/>
      <c r="D370" s="193" t="s">
        <v>281</v>
      </c>
      <c r="E370" s="346">
        <f>11.3*11.3*1.2*3.14/4</f>
        <v>120.28398000000001</v>
      </c>
      <c r="F370" s="194"/>
      <c r="G370" s="195">
        <f>E370*F370</f>
        <v>0</v>
      </c>
    </row>
    <row r="371" spans="1:7" s="183" customFormat="1" ht="15.75" x14ac:dyDescent="0.25">
      <c r="A371" s="192" t="s">
        <v>465</v>
      </c>
      <c r="B371" s="162" t="s">
        <v>466</v>
      </c>
      <c r="C371" s="162"/>
      <c r="D371" s="193" t="s">
        <v>281</v>
      </c>
      <c r="E371" s="346">
        <f>9.3*9.3*0.4*3.14/4</f>
        <v>27.157860000000003</v>
      </c>
      <c r="F371" s="194"/>
      <c r="G371" s="195">
        <f t="shared" ref="G371:G381" si="17">E371*F371</f>
        <v>0</v>
      </c>
    </row>
    <row r="372" spans="1:7" s="183" customFormat="1" ht="15.75" x14ac:dyDescent="0.25">
      <c r="A372" s="192" t="s">
        <v>467</v>
      </c>
      <c r="B372" s="162" t="s">
        <v>468</v>
      </c>
      <c r="C372" s="162"/>
      <c r="D372" s="193" t="s">
        <v>281</v>
      </c>
      <c r="E372" s="346">
        <f>9*9*0.05*3.14/4</f>
        <v>3.1792500000000001</v>
      </c>
      <c r="F372" s="194"/>
      <c r="G372" s="195">
        <f t="shared" si="17"/>
        <v>0</v>
      </c>
    </row>
    <row r="373" spans="1:7" s="183" customFormat="1" ht="15.75" x14ac:dyDescent="0.25">
      <c r="A373" s="192" t="s">
        <v>469</v>
      </c>
      <c r="B373" s="162" t="s">
        <v>470</v>
      </c>
      <c r="C373" s="162"/>
      <c r="D373" s="193" t="s">
        <v>281</v>
      </c>
      <c r="E373" s="346">
        <f>(8.8*8.8*0.2*3.14/4)+(7.9*7.9*0.07*3.14/4)</f>
        <v>15.587509500000003</v>
      </c>
      <c r="F373" s="194"/>
      <c r="G373" s="195">
        <f t="shared" si="17"/>
        <v>0</v>
      </c>
    </row>
    <row r="374" spans="1:7" s="183" customFormat="1" ht="15.75" x14ac:dyDescent="0.25">
      <c r="A374" s="192" t="s">
        <v>471</v>
      </c>
      <c r="B374" s="162" t="s">
        <v>472</v>
      </c>
      <c r="C374" s="162"/>
      <c r="D374" s="193" t="s">
        <v>281</v>
      </c>
      <c r="E374" s="346">
        <f>((8.5^2-8^2)/4)*3.14*2.5+(((8.8^2-8.5^2)/4)*3.14*0.3)</f>
        <v>17.412870000000005</v>
      </c>
      <c r="F374" s="194"/>
      <c r="G374" s="195">
        <f t="shared" si="17"/>
        <v>0</v>
      </c>
    </row>
    <row r="375" spans="1:7" s="183" customFormat="1" ht="15.75" x14ac:dyDescent="0.25">
      <c r="A375" s="192" t="s">
        <v>473</v>
      </c>
      <c r="B375" s="162" t="s">
        <v>474</v>
      </c>
      <c r="C375" s="162"/>
      <c r="D375" s="193" t="s">
        <v>281</v>
      </c>
      <c r="E375" s="346">
        <f>(0.2*0.2*2.5)+(0.2*0.2*8.5*2)</f>
        <v>0.78000000000000014</v>
      </c>
      <c r="F375" s="194"/>
      <c r="G375" s="195">
        <f t="shared" si="17"/>
        <v>0</v>
      </c>
    </row>
    <row r="376" spans="1:7" s="183" customFormat="1" ht="15.75" x14ac:dyDescent="0.25">
      <c r="A376" s="192" t="s">
        <v>475</v>
      </c>
      <c r="B376" s="162" t="s">
        <v>476</v>
      </c>
      <c r="C376" s="162"/>
      <c r="D376" s="193" t="s">
        <v>281</v>
      </c>
      <c r="E376" s="346">
        <f>8.7*8.7*0.15*3.14/4</f>
        <v>8.9124974999999971</v>
      </c>
      <c r="F376" s="194"/>
      <c r="G376" s="195">
        <f t="shared" si="17"/>
        <v>0</v>
      </c>
    </row>
    <row r="377" spans="1:7" s="183" customFormat="1" ht="30" x14ac:dyDescent="0.25">
      <c r="A377" s="192" t="s">
        <v>477</v>
      </c>
      <c r="B377" s="162" t="s">
        <v>478</v>
      </c>
      <c r="C377" s="162"/>
      <c r="D377" s="193" t="s">
        <v>287</v>
      </c>
      <c r="E377" s="346">
        <f>7.9*3.14*2.5*3</f>
        <v>186.04500000000002</v>
      </c>
      <c r="F377" s="194"/>
      <c r="G377" s="195">
        <f t="shared" si="17"/>
        <v>0</v>
      </c>
    </row>
    <row r="378" spans="1:7" s="183" customFormat="1" ht="15.75" x14ac:dyDescent="0.25">
      <c r="A378" s="192" t="s">
        <v>479</v>
      </c>
      <c r="B378" s="162" t="s">
        <v>480</v>
      </c>
      <c r="C378" s="162"/>
      <c r="D378" s="193" t="s">
        <v>287</v>
      </c>
      <c r="E378" s="346">
        <f>8.5*3.14*2.5</f>
        <v>66.725000000000009</v>
      </c>
      <c r="F378" s="194"/>
      <c r="G378" s="195">
        <f t="shared" si="17"/>
        <v>0</v>
      </c>
    </row>
    <row r="379" spans="1:7" s="183" customFormat="1" ht="15.75" x14ac:dyDescent="0.25">
      <c r="A379" s="192" t="s">
        <v>481</v>
      </c>
      <c r="B379" s="162" t="s">
        <v>482</v>
      </c>
      <c r="C379" s="162"/>
      <c r="D379" s="193" t="s">
        <v>332</v>
      </c>
      <c r="E379" s="346">
        <v>2</v>
      </c>
      <c r="F379" s="194"/>
      <c r="G379" s="195">
        <f t="shared" si="17"/>
        <v>0</v>
      </c>
    </row>
    <row r="380" spans="1:7" s="183" customFormat="1" ht="15.75" x14ac:dyDescent="0.25">
      <c r="A380" s="192" t="s">
        <v>483</v>
      </c>
      <c r="B380" s="162" t="s">
        <v>484</v>
      </c>
      <c r="C380" s="162"/>
      <c r="D380" s="193" t="s">
        <v>332</v>
      </c>
      <c r="E380" s="346">
        <v>1</v>
      </c>
      <c r="F380" s="194"/>
      <c r="G380" s="195">
        <f t="shared" si="17"/>
        <v>0</v>
      </c>
    </row>
    <row r="381" spans="1:7" s="183" customFormat="1" ht="15.75" x14ac:dyDescent="0.25">
      <c r="A381" s="192" t="s">
        <v>485</v>
      </c>
      <c r="B381" s="162" t="s">
        <v>486</v>
      </c>
      <c r="C381" s="162"/>
      <c r="D381" s="193" t="s">
        <v>51</v>
      </c>
      <c r="E381" s="346">
        <v>1</v>
      </c>
      <c r="F381" s="194"/>
      <c r="G381" s="195">
        <f t="shared" si="17"/>
        <v>0</v>
      </c>
    </row>
    <row r="382" spans="1:7" s="183" customFormat="1" ht="15.75" x14ac:dyDescent="0.25">
      <c r="A382" s="192" t="s">
        <v>487</v>
      </c>
      <c r="B382" s="196" t="s">
        <v>488</v>
      </c>
      <c r="C382" s="196"/>
      <c r="D382" s="193"/>
      <c r="E382" s="346"/>
      <c r="F382" s="194"/>
      <c r="G382" s="195"/>
    </row>
    <row r="383" spans="1:7" s="183" customFormat="1" ht="15.75" x14ac:dyDescent="0.25">
      <c r="A383" s="192" t="s">
        <v>489</v>
      </c>
      <c r="B383" s="162" t="s">
        <v>464</v>
      </c>
      <c r="C383" s="162"/>
      <c r="D383" s="193" t="s">
        <v>281</v>
      </c>
      <c r="E383" s="346">
        <f>3.8*3.8*1.6</f>
        <v>23.103999999999999</v>
      </c>
      <c r="F383" s="194"/>
      <c r="G383" s="195">
        <f t="shared" ref="G383:G403" si="18">E383*F383</f>
        <v>0</v>
      </c>
    </row>
    <row r="384" spans="1:7" x14ac:dyDescent="0.25">
      <c r="A384" s="192" t="s">
        <v>490</v>
      </c>
      <c r="B384" s="162" t="s">
        <v>491</v>
      </c>
      <c r="C384" s="162"/>
      <c r="D384" s="193" t="s">
        <v>281</v>
      </c>
      <c r="E384" s="346">
        <f>2.8*2.8*0.3</f>
        <v>2.3519999999999994</v>
      </c>
      <c r="F384" s="194"/>
      <c r="G384" s="195">
        <f t="shared" si="18"/>
        <v>0</v>
      </c>
    </row>
    <row r="385" spans="1:7" x14ac:dyDescent="0.25">
      <c r="A385" s="192" t="s">
        <v>492</v>
      </c>
      <c r="B385" s="162" t="s">
        <v>468</v>
      </c>
      <c r="C385" s="162"/>
      <c r="D385" s="193" t="s">
        <v>281</v>
      </c>
      <c r="E385" s="346">
        <f>2.8*2.8*0.05</f>
        <v>0.39199999999999996</v>
      </c>
      <c r="F385" s="194"/>
      <c r="G385" s="195">
        <f t="shared" si="18"/>
        <v>0</v>
      </c>
    </row>
    <row r="386" spans="1:7" x14ac:dyDescent="0.25">
      <c r="A386" s="192" t="s">
        <v>493</v>
      </c>
      <c r="B386" s="162" t="s">
        <v>470</v>
      </c>
      <c r="C386" s="162"/>
      <c r="D386" s="193" t="s">
        <v>281</v>
      </c>
      <c r="E386" s="346">
        <f>2.6*2.6*0.1</f>
        <v>0.67600000000000016</v>
      </c>
      <c r="F386" s="194"/>
      <c r="G386" s="195">
        <f t="shared" si="18"/>
        <v>0</v>
      </c>
    </row>
    <row r="387" spans="1:7" x14ac:dyDescent="0.25">
      <c r="A387" s="192" t="s">
        <v>494</v>
      </c>
      <c r="B387" s="162" t="s">
        <v>495</v>
      </c>
      <c r="C387" s="162"/>
      <c r="D387" s="193" t="s">
        <v>281</v>
      </c>
      <c r="E387" s="346">
        <f>2.6*4*0.3*1.2</f>
        <v>3.7439999999999998</v>
      </c>
      <c r="F387" s="194"/>
      <c r="G387" s="195">
        <f t="shared" si="18"/>
        <v>0</v>
      </c>
    </row>
    <row r="388" spans="1:7" x14ac:dyDescent="0.25">
      <c r="A388" s="192" t="s">
        <v>496</v>
      </c>
      <c r="B388" s="162" t="s">
        <v>476</v>
      </c>
      <c r="C388" s="162"/>
      <c r="D388" s="193" t="s">
        <v>281</v>
      </c>
      <c r="E388" s="346">
        <f>2.8*2.8*0.1</f>
        <v>0.78399999999999992</v>
      </c>
      <c r="F388" s="194"/>
      <c r="G388" s="195">
        <f t="shared" si="18"/>
        <v>0</v>
      </c>
    </row>
    <row r="389" spans="1:7" x14ac:dyDescent="0.25">
      <c r="A389" s="192" t="s">
        <v>497</v>
      </c>
      <c r="B389" s="162" t="s">
        <v>498</v>
      </c>
      <c r="C389" s="162"/>
      <c r="D389" s="193" t="s">
        <v>499</v>
      </c>
      <c r="E389" s="346">
        <f>2*4*1.2</f>
        <v>9.6</v>
      </c>
      <c r="F389" s="194"/>
      <c r="G389" s="195">
        <f t="shared" si="18"/>
        <v>0</v>
      </c>
    </row>
    <row r="390" spans="1:7" x14ac:dyDescent="0.25">
      <c r="A390" s="192" t="s">
        <v>500</v>
      </c>
      <c r="B390" s="162" t="s">
        <v>501</v>
      </c>
      <c r="C390" s="162"/>
      <c r="D390" s="193" t="s">
        <v>499</v>
      </c>
      <c r="E390" s="346">
        <f>2.6*4*1.2</f>
        <v>12.48</v>
      </c>
      <c r="F390" s="194"/>
      <c r="G390" s="195">
        <f t="shared" si="18"/>
        <v>0</v>
      </c>
    </row>
    <row r="391" spans="1:7" x14ac:dyDescent="0.25">
      <c r="A391" s="192" t="s">
        <v>502</v>
      </c>
      <c r="B391" s="162" t="s">
        <v>503</v>
      </c>
      <c r="C391" s="162"/>
      <c r="D391" s="193" t="s">
        <v>504</v>
      </c>
      <c r="E391" s="346">
        <v>1</v>
      </c>
      <c r="F391" s="194"/>
      <c r="G391" s="195">
        <f t="shared" si="18"/>
        <v>0</v>
      </c>
    </row>
    <row r="392" spans="1:7" ht="30" x14ac:dyDescent="0.25">
      <c r="A392" s="192" t="s">
        <v>505</v>
      </c>
      <c r="B392" s="162" t="s">
        <v>506</v>
      </c>
      <c r="C392" s="162"/>
      <c r="D392" s="193" t="s">
        <v>507</v>
      </c>
      <c r="E392" s="346">
        <v>1</v>
      </c>
      <c r="F392" s="194"/>
      <c r="G392" s="195">
        <f>E392*F392</f>
        <v>0</v>
      </c>
    </row>
    <row r="393" spans="1:7" x14ac:dyDescent="0.25">
      <c r="A393" s="192"/>
      <c r="B393" s="196" t="s">
        <v>508</v>
      </c>
      <c r="C393" s="196"/>
      <c r="D393" s="193"/>
      <c r="E393" s="346"/>
      <c r="F393" s="194"/>
      <c r="G393" s="195"/>
    </row>
    <row r="394" spans="1:7" ht="30" x14ac:dyDescent="0.25">
      <c r="A394" s="192" t="s">
        <v>509</v>
      </c>
      <c r="B394" s="162" t="s">
        <v>236</v>
      </c>
      <c r="C394" s="162"/>
      <c r="D394" s="193" t="s">
        <v>510</v>
      </c>
      <c r="E394" s="346">
        <f xml:space="preserve"> (1+0.8)*(1+1.2)*1*0.6</f>
        <v>2.3760000000000003</v>
      </c>
      <c r="F394" s="194"/>
      <c r="G394" s="195">
        <f t="shared" si="18"/>
        <v>0</v>
      </c>
    </row>
    <row r="395" spans="1:7" x14ac:dyDescent="0.25">
      <c r="A395" s="192" t="s">
        <v>511</v>
      </c>
      <c r="B395" s="162" t="s">
        <v>512</v>
      </c>
      <c r="C395" s="162"/>
      <c r="D395" s="193" t="s">
        <v>510</v>
      </c>
      <c r="E395" s="346">
        <f>1.2*0.8*0.2</f>
        <v>0.192</v>
      </c>
      <c r="F395" s="194"/>
      <c r="G395" s="195">
        <f t="shared" si="18"/>
        <v>0</v>
      </c>
    </row>
    <row r="396" spans="1:7" x14ac:dyDescent="0.25">
      <c r="A396" s="192" t="s">
        <v>513</v>
      </c>
      <c r="B396" s="162" t="s">
        <v>163</v>
      </c>
      <c r="C396" s="162"/>
      <c r="D396" s="193" t="s">
        <v>510</v>
      </c>
      <c r="E396" s="346">
        <f>1.2*0.8*0.05</f>
        <v>4.8000000000000001E-2</v>
      </c>
      <c r="F396" s="194"/>
      <c r="G396" s="195">
        <f t="shared" si="18"/>
        <v>0</v>
      </c>
    </row>
    <row r="397" spans="1:7" x14ac:dyDescent="0.25">
      <c r="A397" s="192" t="s">
        <v>514</v>
      </c>
      <c r="B397" s="162" t="s">
        <v>515</v>
      </c>
      <c r="C397" s="162"/>
      <c r="D397" s="193" t="s">
        <v>510</v>
      </c>
      <c r="E397" s="346">
        <f>E396/0.05*0.1*1.05</f>
        <v>0.1008</v>
      </c>
      <c r="F397" s="194"/>
      <c r="G397" s="195">
        <f t="shared" si="18"/>
        <v>0</v>
      </c>
    </row>
    <row r="398" spans="1:7" x14ac:dyDescent="0.25">
      <c r="A398" s="192" t="s">
        <v>516</v>
      </c>
      <c r="B398" s="162" t="s">
        <v>517</v>
      </c>
      <c r="C398" s="162"/>
      <c r="D398" s="193" t="s">
        <v>510</v>
      </c>
      <c r="E398" s="346">
        <f>2.8*0.6*0.3</f>
        <v>0.504</v>
      </c>
      <c r="F398" s="194"/>
      <c r="G398" s="195">
        <f t="shared" si="18"/>
        <v>0</v>
      </c>
    </row>
    <row r="399" spans="1:7" ht="18" x14ac:dyDescent="0.25">
      <c r="A399" s="192" t="s">
        <v>518</v>
      </c>
      <c r="B399" s="162" t="s">
        <v>519</v>
      </c>
      <c r="C399" s="162"/>
      <c r="D399" s="193" t="s">
        <v>520</v>
      </c>
      <c r="E399" s="346">
        <f>2.8*0.6</f>
        <v>1.68</v>
      </c>
      <c r="F399" s="194"/>
      <c r="G399" s="195">
        <f t="shared" si="18"/>
        <v>0</v>
      </c>
    </row>
    <row r="400" spans="1:7" ht="18" x14ac:dyDescent="0.25">
      <c r="A400" s="192" t="s">
        <v>521</v>
      </c>
      <c r="B400" s="162" t="s">
        <v>522</v>
      </c>
      <c r="C400" s="162"/>
      <c r="D400" s="193" t="s">
        <v>49</v>
      </c>
      <c r="E400" s="346">
        <v>1</v>
      </c>
      <c r="F400" s="194"/>
      <c r="G400" s="195">
        <f t="shared" si="18"/>
        <v>0</v>
      </c>
    </row>
    <row r="401" spans="1:7" x14ac:dyDescent="0.25">
      <c r="A401" s="192"/>
      <c r="B401" s="162" t="str">
        <f>[1]Sheet1!$B$169</f>
        <v>Landscaping:</v>
      </c>
      <c r="C401" s="162"/>
      <c r="D401" s="193"/>
      <c r="E401" s="346"/>
      <c r="F401" s="194"/>
      <c r="G401" s="195"/>
    </row>
    <row r="402" spans="1:7" ht="23.25" customHeight="1" x14ac:dyDescent="0.25">
      <c r="A402" s="192" t="s">
        <v>523</v>
      </c>
      <c r="B402" s="162" t="s">
        <v>456</v>
      </c>
      <c r="C402" s="162"/>
      <c r="D402" s="193" t="s">
        <v>287</v>
      </c>
      <c r="E402" s="346">
        <v>110.2</v>
      </c>
      <c r="F402" s="194"/>
      <c r="G402" s="195">
        <f t="shared" si="18"/>
        <v>0</v>
      </c>
    </row>
    <row r="403" spans="1:7" x14ac:dyDescent="0.25">
      <c r="A403" s="192" t="s">
        <v>524</v>
      </c>
      <c r="B403" s="162" t="s">
        <v>458</v>
      </c>
      <c r="C403" s="162"/>
      <c r="D403" s="193" t="s">
        <v>287</v>
      </c>
      <c r="E403" s="346">
        <v>450.3</v>
      </c>
      <c r="F403" s="194"/>
      <c r="G403" s="195">
        <f t="shared" si="18"/>
        <v>0</v>
      </c>
    </row>
    <row r="404" spans="1:7" x14ac:dyDescent="0.25">
      <c r="A404" s="197"/>
      <c r="B404" s="198"/>
      <c r="C404" s="198"/>
      <c r="D404" s="193"/>
      <c r="E404" s="346"/>
      <c r="F404" s="194"/>
      <c r="G404" s="199"/>
    </row>
    <row r="405" spans="1:7" x14ac:dyDescent="0.25">
      <c r="A405" s="99"/>
      <c r="B405" s="76" t="s">
        <v>525</v>
      </c>
      <c r="C405" s="76"/>
      <c r="D405" s="53"/>
      <c r="E405" s="316"/>
      <c r="F405" s="53"/>
      <c r="G405" s="77">
        <f>+SUM(G370:G403)</f>
        <v>0</v>
      </c>
    </row>
    <row r="406" spans="1:7" ht="16.5" x14ac:dyDescent="0.25">
      <c r="A406" s="79"/>
      <c r="B406" s="65" t="s">
        <v>526</v>
      </c>
      <c r="C406" s="65"/>
      <c r="D406" s="66"/>
      <c r="E406" s="315">
        <v>2</v>
      </c>
      <c r="F406" s="66"/>
      <c r="G406" s="67">
        <f>G405*E406</f>
        <v>0</v>
      </c>
    </row>
    <row r="407" spans="1:7" x14ac:dyDescent="0.25">
      <c r="A407" s="103"/>
      <c r="B407" s="104" t="s">
        <v>527</v>
      </c>
      <c r="C407" s="104"/>
      <c r="D407" s="105"/>
      <c r="E407" s="314"/>
      <c r="F407" s="105"/>
      <c r="G407" s="106">
        <f>+G406+G367</f>
        <v>0</v>
      </c>
    </row>
    <row r="408" spans="1:7" x14ac:dyDescent="0.25">
      <c r="A408" s="200"/>
      <c r="B408" s="178"/>
      <c r="C408" s="178"/>
      <c r="D408" s="201"/>
      <c r="E408" s="347"/>
      <c r="F408" s="202"/>
      <c r="G408" s="203"/>
    </row>
    <row r="409" spans="1:7" x14ac:dyDescent="0.25">
      <c r="A409" s="64">
        <v>7</v>
      </c>
      <c r="B409" s="204" t="s">
        <v>528</v>
      </c>
      <c r="C409" s="204"/>
      <c r="D409" s="66"/>
      <c r="E409" s="298"/>
      <c r="F409" s="66"/>
      <c r="G409" s="67"/>
    </row>
    <row r="410" spans="1:7" x14ac:dyDescent="0.25">
      <c r="A410" s="39">
        <v>7.1</v>
      </c>
      <c r="B410" s="166" t="s">
        <v>529</v>
      </c>
      <c r="C410" s="166"/>
      <c r="D410" s="47"/>
      <c r="E410" s="292"/>
      <c r="F410" s="47"/>
      <c r="G410" s="48"/>
    </row>
    <row r="411" spans="1:7" ht="18" x14ac:dyDescent="0.25">
      <c r="A411" s="69" t="s">
        <v>530</v>
      </c>
      <c r="B411" s="70" t="s">
        <v>159</v>
      </c>
      <c r="C411" s="70"/>
      <c r="D411" s="53" t="s">
        <v>61</v>
      </c>
      <c r="E411" s="303">
        <f xml:space="preserve"> (1+5.7)*(1+5.4)*0.5*1.05</f>
        <v>22.512000000000004</v>
      </c>
      <c r="F411" s="53"/>
      <c r="G411" s="71">
        <f t="shared" ref="G411:G422" si="19">E411*F411</f>
        <v>0</v>
      </c>
    </row>
    <row r="412" spans="1:7" ht="18" x14ac:dyDescent="0.25">
      <c r="A412" s="69" t="s">
        <v>531</v>
      </c>
      <c r="B412" s="70" t="s">
        <v>161</v>
      </c>
      <c r="C412" s="70"/>
      <c r="D412" s="53" t="s">
        <v>61</v>
      </c>
      <c r="E412" s="303">
        <f>((5.2*3.4)-2*((0.7*0.5)+(1.5*1.05))  )*0.15*1.05</f>
        <v>2.1782249999999999</v>
      </c>
      <c r="F412" s="53"/>
      <c r="G412" s="71">
        <f t="shared" si="19"/>
        <v>0</v>
      </c>
    </row>
    <row r="413" spans="1:7" ht="18" x14ac:dyDescent="0.25">
      <c r="A413" s="69" t="s">
        <v>532</v>
      </c>
      <c r="B413" s="70" t="s">
        <v>163</v>
      </c>
      <c r="C413" s="70"/>
      <c r="D413" s="53" t="s">
        <v>61</v>
      </c>
      <c r="E413" s="303">
        <f>E412/0.3*0.05*1.05</f>
        <v>0.38118937500000005</v>
      </c>
      <c r="F413" s="53"/>
      <c r="G413" s="71">
        <f t="shared" si="19"/>
        <v>0</v>
      </c>
    </row>
    <row r="414" spans="1:7" ht="18" x14ac:dyDescent="0.25">
      <c r="A414" s="69" t="s">
        <v>533</v>
      </c>
      <c r="B414" s="70" t="s">
        <v>165</v>
      </c>
      <c r="C414" s="70"/>
      <c r="D414" s="53" t="s">
        <v>61</v>
      </c>
      <c r="E414" s="303">
        <f>((3.7-0.2)*(3.4-0.2)-2*(0.7*0.5)  )*0.1*1.05</f>
        <v>1.1025</v>
      </c>
      <c r="F414" s="53"/>
      <c r="G414" s="71">
        <f t="shared" si="19"/>
        <v>0</v>
      </c>
    </row>
    <row r="415" spans="1:7" ht="18" x14ac:dyDescent="0.25">
      <c r="A415" s="69" t="s">
        <v>534</v>
      </c>
      <c r="B415" s="70" t="s">
        <v>535</v>
      </c>
      <c r="C415" s="70"/>
      <c r="D415" s="53" t="s">
        <v>61</v>
      </c>
      <c r="E415" s="292">
        <f xml:space="preserve"> ((0.9)*(1)*0.1  -  (0.5*0.5)*0.1)*1.05</f>
        <v>6.8250000000000005E-2</v>
      </c>
      <c r="F415" s="53"/>
      <c r="G415" s="71">
        <f t="shared" si="19"/>
        <v>0</v>
      </c>
    </row>
    <row r="416" spans="1:7" ht="18" x14ac:dyDescent="0.25">
      <c r="A416" s="69" t="s">
        <v>536</v>
      </c>
      <c r="B416" s="70" t="s">
        <v>193</v>
      </c>
      <c r="C416" s="70"/>
      <c r="D416" s="53" t="s">
        <v>61</v>
      </c>
      <c r="E416" s="303">
        <f>( 0.2*(2*(1.7+1)*0.7+ (1*0.7) +((1.9+2)*2+0.7*2)*0.1*0.2 ))*1.05</f>
        <v>0.97943999999999998</v>
      </c>
      <c r="F416" s="53"/>
      <c r="G416" s="71">
        <f t="shared" si="19"/>
        <v>0</v>
      </c>
    </row>
    <row r="417" spans="1:7" ht="18" x14ac:dyDescent="0.25">
      <c r="A417" s="69" t="s">
        <v>537</v>
      </c>
      <c r="B417" s="70" t="s">
        <v>538</v>
      </c>
      <c r="C417" s="70"/>
      <c r="D417" s="53" t="s">
        <v>58</v>
      </c>
      <c r="E417" s="303">
        <f>(2*(1.7*1)*0.7+  2*(1.2*0.7)+((1.9+2)*2+0.7*2))*1.05</f>
        <v>13.922999999999998</v>
      </c>
      <c r="F417" s="53"/>
      <c r="G417" s="71">
        <f t="shared" si="19"/>
        <v>0</v>
      </c>
    </row>
    <row r="418" spans="1:7" ht="18" x14ac:dyDescent="0.25">
      <c r="A418" s="69" t="s">
        <v>539</v>
      </c>
      <c r="B418" s="70" t="s">
        <v>174</v>
      </c>
      <c r="C418" s="70"/>
      <c r="D418" s="53" t="s">
        <v>58</v>
      </c>
      <c r="E418" s="303">
        <f>0.1*(1)*1*1.05</f>
        <v>0.10500000000000001</v>
      </c>
      <c r="F418" s="53"/>
      <c r="G418" s="71">
        <f t="shared" si="19"/>
        <v>0</v>
      </c>
    </row>
    <row r="419" spans="1:7" ht="18" x14ac:dyDescent="0.25">
      <c r="A419" s="69" t="s">
        <v>540</v>
      </c>
      <c r="B419" s="70" t="s">
        <v>541</v>
      </c>
      <c r="C419" s="70"/>
      <c r="D419" s="53" t="s">
        <v>58</v>
      </c>
      <c r="E419" s="303">
        <f>(1+0.9*2)*0.2*1.05</f>
        <v>0.58799999999999997</v>
      </c>
      <c r="F419" s="53"/>
      <c r="G419" s="71">
        <f t="shared" si="19"/>
        <v>0</v>
      </c>
    </row>
    <row r="420" spans="1:7" x14ac:dyDescent="0.25">
      <c r="A420" s="69" t="s">
        <v>542</v>
      </c>
      <c r="B420" s="70" t="s">
        <v>543</v>
      </c>
      <c r="C420" s="70"/>
      <c r="D420" s="53" t="s">
        <v>179</v>
      </c>
      <c r="E420" s="303">
        <v>1</v>
      </c>
      <c r="F420" s="53"/>
      <c r="G420" s="71">
        <f t="shared" si="19"/>
        <v>0</v>
      </c>
    </row>
    <row r="421" spans="1:7" ht="30" x14ac:dyDescent="0.25">
      <c r="A421" s="69" t="s">
        <v>544</v>
      </c>
      <c r="B421" s="70" t="s">
        <v>545</v>
      </c>
      <c r="C421" s="70"/>
      <c r="D421" s="53" t="s">
        <v>49</v>
      </c>
      <c r="E421" s="303">
        <v>1</v>
      </c>
      <c r="F421" s="53"/>
      <c r="G421" s="71">
        <f t="shared" si="19"/>
        <v>0</v>
      </c>
    </row>
    <row r="422" spans="1:7" ht="18" x14ac:dyDescent="0.25">
      <c r="A422" s="69" t="s">
        <v>546</v>
      </c>
      <c r="B422" s="70" t="s">
        <v>547</v>
      </c>
      <c r="C422" s="70"/>
      <c r="D422" s="53" t="s">
        <v>49</v>
      </c>
      <c r="E422" s="303">
        <v>1</v>
      </c>
      <c r="F422" s="53"/>
      <c r="G422" s="71">
        <f t="shared" si="19"/>
        <v>0</v>
      </c>
    </row>
    <row r="423" spans="1:7" x14ac:dyDescent="0.25">
      <c r="A423" s="99"/>
      <c r="B423" s="100" t="s">
        <v>548</v>
      </c>
      <c r="C423" s="100"/>
      <c r="D423" s="101"/>
      <c r="E423" s="313"/>
      <c r="F423" s="101"/>
      <c r="G423" s="102">
        <f>SUM(G411:G422)</f>
        <v>0</v>
      </c>
    </row>
    <row r="424" spans="1:7" x14ac:dyDescent="0.25">
      <c r="A424" s="99"/>
      <c r="B424" s="100" t="s">
        <v>549</v>
      </c>
      <c r="C424" s="100"/>
      <c r="D424" s="101"/>
      <c r="E424" s="313">
        <v>19</v>
      </c>
      <c r="F424" s="101"/>
      <c r="G424" s="102">
        <f>G423*E424</f>
        <v>0</v>
      </c>
    </row>
    <row r="425" spans="1:7" x14ac:dyDescent="0.25">
      <c r="A425" s="205"/>
      <c r="B425" s="104" t="s">
        <v>550</v>
      </c>
      <c r="C425" s="104"/>
      <c r="D425" s="206"/>
      <c r="E425" s="348"/>
      <c r="F425" s="207"/>
      <c r="G425" s="208">
        <f>G424</f>
        <v>0</v>
      </c>
    </row>
    <row r="426" spans="1:7" x14ac:dyDescent="0.25">
      <c r="A426" s="39"/>
      <c r="B426" s="166"/>
      <c r="C426" s="166"/>
      <c r="D426" s="47"/>
      <c r="E426" s="292"/>
      <c r="F426" s="47"/>
      <c r="G426" s="48"/>
    </row>
    <row r="427" spans="1:7" ht="14.25" x14ac:dyDescent="0.25">
      <c r="A427" s="209">
        <v>8</v>
      </c>
      <c r="B427" s="210" t="s">
        <v>551</v>
      </c>
      <c r="C427" s="210"/>
      <c r="D427" s="210"/>
      <c r="E427" s="349"/>
      <c r="F427" s="210"/>
      <c r="G427" s="211"/>
    </row>
    <row r="428" spans="1:7" x14ac:dyDescent="0.25">
      <c r="A428" s="212"/>
      <c r="B428" s="213"/>
      <c r="C428" s="213"/>
      <c r="D428" s="214"/>
      <c r="E428" s="350"/>
      <c r="F428" s="215"/>
      <c r="G428" s="216"/>
    </row>
    <row r="429" spans="1:7" ht="28.5" x14ac:dyDescent="0.25">
      <c r="A429" s="209">
        <v>8.1</v>
      </c>
      <c r="B429" s="155" t="s">
        <v>552</v>
      </c>
      <c r="C429" s="155"/>
      <c r="D429" s="156"/>
      <c r="E429" s="339"/>
      <c r="F429" s="217"/>
      <c r="G429" s="218"/>
    </row>
    <row r="430" spans="1:7" x14ac:dyDescent="0.25">
      <c r="A430" s="219"/>
      <c r="B430" s="76" t="s">
        <v>553</v>
      </c>
      <c r="C430" s="76"/>
      <c r="D430" s="53"/>
      <c r="E430" s="295"/>
      <c r="F430" s="220"/>
      <c r="G430" s="71"/>
    </row>
    <row r="431" spans="1:7" x14ac:dyDescent="0.25">
      <c r="A431" s="221" t="s">
        <v>554</v>
      </c>
      <c r="B431" s="222" t="s">
        <v>555</v>
      </c>
      <c r="C431" s="223"/>
      <c r="D431" s="53" t="s">
        <v>556</v>
      </c>
      <c r="E431" s="295">
        <v>1</v>
      </c>
      <c r="F431" s="220"/>
      <c r="G431" s="71">
        <f t="shared" ref="G431:G455" si="20">E431*F431</f>
        <v>0</v>
      </c>
    </row>
    <row r="432" spans="1:7" x14ac:dyDescent="0.25">
      <c r="A432" s="221" t="s">
        <v>557</v>
      </c>
      <c r="B432" s="223" t="s">
        <v>558</v>
      </c>
      <c r="C432" s="223"/>
      <c r="D432" s="53" t="s">
        <v>49</v>
      </c>
      <c r="E432" s="295">
        <v>1</v>
      </c>
      <c r="F432" s="220"/>
      <c r="G432" s="71">
        <f t="shared" si="20"/>
        <v>0</v>
      </c>
    </row>
    <row r="433" spans="1:7" x14ac:dyDescent="0.25">
      <c r="A433" s="221" t="s">
        <v>559</v>
      </c>
      <c r="B433" s="223" t="s">
        <v>560</v>
      </c>
      <c r="C433" s="223"/>
      <c r="D433" s="53" t="s">
        <v>556</v>
      </c>
      <c r="E433" s="295">
        <v>1</v>
      </c>
      <c r="F433" s="220"/>
      <c r="G433" s="71">
        <f t="shared" si="20"/>
        <v>0</v>
      </c>
    </row>
    <row r="434" spans="1:7" x14ac:dyDescent="0.25">
      <c r="A434" s="221" t="s">
        <v>561</v>
      </c>
      <c r="B434" s="223" t="s">
        <v>562</v>
      </c>
      <c r="C434" s="223"/>
      <c r="D434" s="53" t="s">
        <v>556</v>
      </c>
      <c r="E434" s="295">
        <v>1</v>
      </c>
      <c r="F434" s="220"/>
      <c r="G434" s="71">
        <f t="shared" si="20"/>
        <v>0</v>
      </c>
    </row>
    <row r="435" spans="1:7" x14ac:dyDescent="0.25">
      <c r="A435" s="221" t="s">
        <v>563</v>
      </c>
      <c r="B435" s="223" t="s">
        <v>564</v>
      </c>
      <c r="C435" s="223"/>
      <c r="D435" s="53" t="s">
        <v>556</v>
      </c>
      <c r="E435" s="295">
        <v>1</v>
      </c>
      <c r="F435" s="220"/>
      <c r="G435" s="71">
        <f t="shared" si="20"/>
        <v>0</v>
      </c>
    </row>
    <row r="436" spans="1:7" x14ac:dyDescent="0.25">
      <c r="A436" s="221" t="s">
        <v>565</v>
      </c>
      <c r="B436" s="223" t="s">
        <v>566</v>
      </c>
      <c r="C436" s="223"/>
      <c r="D436" s="53" t="s">
        <v>556</v>
      </c>
      <c r="E436" s="295">
        <v>10</v>
      </c>
      <c r="F436" s="220"/>
      <c r="G436" s="71">
        <f t="shared" si="20"/>
        <v>0</v>
      </c>
    </row>
    <row r="437" spans="1:7" x14ac:dyDescent="0.25">
      <c r="A437" s="221" t="s">
        <v>567</v>
      </c>
      <c r="B437" s="223" t="s">
        <v>568</v>
      </c>
      <c r="C437" s="223"/>
      <c r="D437" s="53" t="s">
        <v>556</v>
      </c>
      <c r="E437" s="295">
        <v>1</v>
      </c>
      <c r="F437" s="220"/>
      <c r="G437" s="71">
        <f t="shared" si="20"/>
        <v>0</v>
      </c>
    </row>
    <row r="438" spans="1:7" x14ac:dyDescent="0.25">
      <c r="A438" s="221" t="s">
        <v>569</v>
      </c>
      <c r="B438" s="223" t="s">
        <v>570</v>
      </c>
      <c r="C438" s="223"/>
      <c r="D438" s="53" t="s">
        <v>556</v>
      </c>
      <c r="E438" s="295">
        <v>1</v>
      </c>
      <c r="F438" s="220"/>
      <c r="G438" s="71">
        <f t="shared" si="20"/>
        <v>0</v>
      </c>
    </row>
    <row r="439" spans="1:7" x14ac:dyDescent="0.25">
      <c r="A439" s="221" t="s">
        <v>571</v>
      </c>
      <c r="B439" s="223" t="s">
        <v>572</v>
      </c>
      <c r="C439" s="223"/>
      <c r="D439" s="53" t="s">
        <v>556</v>
      </c>
      <c r="E439" s="295">
        <v>1</v>
      </c>
      <c r="F439" s="220"/>
      <c r="G439" s="71">
        <f t="shared" si="20"/>
        <v>0</v>
      </c>
    </row>
    <row r="440" spans="1:7" x14ac:dyDescent="0.25">
      <c r="A440" s="221" t="s">
        <v>573</v>
      </c>
      <c r="B440" s="223" t="s">
        <v>574</v>
      </c>
      <c r="C440" s="223"/>
      <c r="D440" s="53" t="s">
        <v>556</v>
      </c>
      <c r="E440" s="295">
        <v>1</v>
      </c>
      <c r="F440" s="220"/>
      <c r="G440" s="71">
        <f t="shared" si="20"/>
        <v>0</v>
      </c>
    </row>
    <row r="441" spans="1:7" s="183" customFormat="1" ht="15.75" x14ac:dyDescent="0.25">
      <c r="A441" s="221" t="s">
        <v>575</v>
      </c>
      <c r="B441" s="223" t="s">
        <v>576</v>
      </c>
      <c r="C441" s="223"/>
      <c r="D441" s="53" t="s">
        <v>556</v>
      </c>
      <c r="E441" s="295">
        <v>1</v>
      </c>
      <c r="F441" s="220"/>
      <c r="G441" s="71">
        <f t="shared" si="20"/>
        <v>0</v>
      </c>
    </row>
    <row r="442" spans="1:7" s="183" customFormat="1" ht="15.75" x14ac:dyDescent="0.25">
      <c r="A442" s="221" t="s">
        <v>577</v>
      </c>
      <c r="B442" s="223" t="s">
        <v>578</v>
      </c>
      <c r="C442" s="223"/>
      <c r="D442" s="53" t="s">
        <v>556</v>
      </c>
      <c r="E442" s="295">
        <v>2</v>
      </c>
      <c r="F442" s="220"/>
      <c r="G442" s="71">
        <f t="shared" si="20"/>
        <v>0</v>
      </c>
    </row>
    <row r="443" spans="1:7" s="183" customFormat="1" ht="15.75" x14ac:dyDescent="0.25">
      <c r="A443" s="221" t="s">
        <v>579</v>
      </c>
      <c r="B443" s="223" t="s">
        <v>580</v>
      </c>
      <c r="C443" s="223"/>
      <c r="D443" s="53" t="s">
        <v>556</v>
      </c>
      <c r="E443" s="295">
        <v>1</v>
      </c>
      <c r="F443" s="220"/>
      <c r="G443" s="71">
        <f t="shared" si="20"/>
        <v>0</v>
      </c>
    </row>
    <row r="444" spans="1:7" s="183" customFormat="1" ht="15.75" x14ac:dyDescent="0.25">
      <c r="A444" s="221" t="s">
        <v>581</v>
      </c>
      <c r="B444" s="223" t="s">
        <v>582</v>
      </c>
      <c r="C444" s="223"/>
      <c r="D444" s="53" t="s">
        <v>556</v>
      </c>
      <c r="E444" s="295">
        <v>10</v>
      </c>
      <c r="F444" s="220"/>
      <c r="G444" s="71">
        <f t="shared" si="20"/>
        <v>0</v>
      </c>
    </row>
    <row r="445" spans="1:7" s="183" customFormat="1" ht="15.75" x14ac:dyDescent="0.25">
      <c r="A445" s="221" t="s">
        <v>583</v>
      </c>
      <c r="B445" s="223" t="s">
        <v>584</v>
      </c>
      <c r="C445" s="223"/>
      <c r="D445" s="53" t="s">
        <v>556</v>
      </c>
      <c r="E445" s="295">
        <v>1</v>
      </c>
      <c r="F445" s="220"/>
      <c r="G445" s="71">
        <f t="shared" si="20"/>
        <v>0</v>
      </c>
    </row>
    <row r="446" spans="1:7" s="183" customFormat="1" ht="15.75" x14ac:dyDescent="0.25">
      <c r="A446" s="221" t="s">
        <v>585</v>
      </c>
      <c r="B446" s="223" t="s">
        <v>586</v>
      </c>
      <c r="C446" s="223"/>
      <c r="D446" s="53" t="s">
        <v>556</v>
      </c>
      <c r="E446" s="295">
        <v>10</v>
      </c>
      <c r="F446" s="220"/>
      <c r="G446" s="71">
        <f t="shared" si="20"/>
        <v>0</v>
      </c>
    </row>
    <row r="447" spans="1:7" s="183" customFormat="1" ht="15.75" x14ac:dyDescent="0.25">
      <c r="A447" s="221" t="s">
        <v>587</v>
      </c>
      <c r="B447" s="223" t="s">
        <v>588</v>
      </c>
      <c r="C447" s="223"/>
      <c r="D447" s="53" t="s">
        <v>379</v>
      </c>
      <c r="E447" s="295">
        <v>1</v>
      </c>
      <c r="F447" s="220"/>
      <c r="G447" s="71">
        <f t="shared" si="20"/>
        <v>0</v>
      </c>
    </row>
    <row r="448" spans="1:7" s="183" customFormat="1" ht="15.75" x14ac:dyDescent="0.25">
      <c r="A448" s="221" t="s">
        <v>589</v>
      </c>
      <c r="B448" s="223" t="s">
        <v>590</v>
      </c>
      <c r="C448" s="223"/>
      <c r="D448" s="53" t="s">
        <v>379</v>
      </c>
      <c r="E448" s="295">
        <v>10</v>
      </c>
      <c r="F448" s="220"/>
      <c r="G448" s="71">
        <f t="shared" si="20"/>
        <v>0</v>
      </c>
    </row>
    <row r="449" spans="1:7" s="183" customFormat="1" ht="15.75" x14ac:dyDescent="0.25">
      <c r="A449" s="221" t="s">
        <v>591</v>
      </c>
      <c r="B449" s="223" t="s">
        <v>592</v>
      </c>
      <c r="C449" s="223"/>
      <c r="D449" s="53" t="s">
        <v>379</v>
      </c>
      <c r="E449" s="295">
        <v>95</v>
      </c>
      <c r="F449" s="220"/>
      <c r="G449" s="71">
        <f t="shared" si="20"/>
        <v>0</v>
      </c>
    </row>
    <row r="450" spans="1:7" s="183" customFormat="1" ht="15.75" x14ac:dyDescent="0.25">
      <c r="A450" s="221" t="s">
        <v>593</v>
      </c>
      <c r="B450" s="223" t="s">
        <v>594</v>
      </c>
      <c r="C450" s="223"/>
      <c r="D450" s="53" t="s">
        <v>379</v>
      </c>
      <c r="E450" s="295">
        <v>150</v>
      </c>
      <c r="F450" s="220"/>
      <c r="G450" s="71">
        <f t="shared" si="20"/>
        <v>0</v>
      </c>
    </row>
    <row r="451" spans="1:7" s="183" customFormat="1" ht="15.75" x14ac:dyDescent="0.25">
      <c r="A451" s="221" t="s">
        <v>595</v>
      </c>
      <c r="B451" s="223" t="s">
        <v>596</v>
      </c>
      <c r="C451" s="223"/>
      <c r="D451" s="53" t="s">
        <v>556</v>
      </c>
      <c r="E451" s="295">
        <v>1</v>
      </c>
      <c r="F451" s="220"/>
      <c r="G451" s="71">
        <f t="shared" si="20"/>
        <v>0</v>
      </c>
    </row>
    <row r="452" spans="1:7" s="183" customFormat="1" ht="15.75" x14ac:dyDescent="0.25">
      <c r="A452" s="221" t="s">
        <v>597</v>
      </c>
      <c r="B452" s="223" t="s">
        <v>598</v>
      </c>
      <c r="C452" s="223"/>
      <c r="D452" s="53" t="s">
        <v>599</v>
      </c>
      <c r="E452" s="295">
        <v>1</v>
      </c>
      <c r="F452" s="220"/>
      <c r="G452" s="71">
        <f t="shared" si="20"/>
        <v>0</v>
      </c>
    </row>
    <row r="453" spans="1:7" s="183" customFormat="1" ht="15.75" x14ac:dyDescent="0.25">
      <c r="A453" s="221" t="s">
        <v>600</v>
      </c>
      <c r="B453" s="223" t="s">
        <v>601</v>
      </c>
      <c r="C453" s="223"/>
      <c r="D453" s="53" t="s">
        <v>599</v>
      </c>
      <c r="E453" s="295">
        <v>1</v>
      </c>
      <c r="F453" s="220"/>
      <c r="G453" s="71">
        <f t="shared" si="20"/>
        <v>0</v>
      </c>
    </row>
    <row r="454" spans="1:7" s="183" customFormat="1" ht="15.75" x14ac:dyDescent="0.25">
      <c r="A454" s="221" t="s">
        <v>602</v>
      </c>
      <c r="B454" s="223" t="s">
        <v>603</v>
      </c>
      <c r="C454" s="223"/>
      <c r="D454" s="53" t="s">
        <v>556</v>
      </c>
      <c r="E454" s="295">
        <v>1</v>
      </c>
      <c r="F454" s="220"/>
      <c r="G454" s="71">
        <f t="shared" si="20"/>
        <v>0</v>
      </c>
    </row>
    <row r="455" spans="1:7" s="183" customFormat="1" ht="15.75" x14ac:dyDescent="0.25">
      <c r="A455" s="221" t="s">
        <v>604</v>
      </c>
      <c r="B455" s="223" t="s">
        <v>605</v>
      </c>
      <c r="C455" s="223"/>
      <c r="D455" s="53" t="s">
        <v>556</v>
      </c>
      <c r="E455" s="295">
        <v>1</v>
      </c>
      <c r="F455" s="220"/>
      <c r="G455" s="71">
        <f t="shared" si="20"/>
        <v>0</v>
      </c>
    </row>
    <row r="456" spans="1:7" s="183" customFormat="1" ht="15.75" x14ac:dyDescent="0.25">
      <c r="A456" s="212"/>
      <c r="B456" s="213" t="s">
        <v>606</v>
      </c>
      <c r="C456" s="213"/>
      <c r="D456" s="214"/>
      <c r="E456" s="350"/>
      <c r="F456" s="215"/>
      <c r="G456" s="216">
        <f>SUM(G431:G455)</f>
        <v>0</v>
      </c>
    </row>
    <row r="457" spans="1:7" s="183" customFormat="1" ht="15.75" x14ac:dyDescent="0.25">
      <c r="A457" s="224"/>
      <c r="B457" s="225" t="s">
        <v>607</v>
      </c>
      <c r="C457" s="225"/>
      <c r="D457" s="226"/>
      <c r="E457" s="351"/>
      <c r="F457" s="227"/>
      <c r="G457" s="228">
        <f>G456</f>
        <v>0</v>
      </c>
    </row>
    <row r="458" spans="1:7" s="183" customFormat="1" ht="15.75" x14ac:dyDescent="0.25">
      <c r="A458" s="221"/>
      <c r="B458" s="229"/>
      <c r="C458" s="229"/>
      <c r="D458" s="53"/>
      <c r="E458" s="295"/>
      <c r="F458" s="220"/>
      <c r="G458" s="77"/>
    </row>
    <row r="459" spans="1:7" s="183" customFormat="1" ht="15.75" x14ac:dyDescent="0.25">
      <c r="A459" s="209">
        <v>8.1999999999999993</v>
      </c>
      <c r="B459" s="155" t="s">
        <v>608</v>
      </c>
      <c r="C459" s="155"/>
      <c r="D459" s="230"/>
      <c r="E459" s="352"/>
      <c r="F459" s="231"/>
      <c r="G459" s="232"/>
    </row>
    <row r="460" spans="1:7" s="183" customFormat="1" ht="15.75" x14ac:dyDescent="0.25">
      <c r="A460" s="233"/>
      <c r="B460" s="229" t="s">
        <v>609</v>
      </c>
      <c r="C460" s="229"/>
      <c r="D460" s="53"/>
      <c r="E460" s="295"/>
      <c r="F460" s="220"/>
      <c r="G460" s="234"/>
    </row>
    <row r="461" spans="1:7" s="183" customFormat="1" ht="18" x14ac:dyDescent="0.25">
      <c r="A461" s="235" t="s">
        <v>610</v>
      </c>
      <c r="B461" s="222" t="s">
        <v>611</v>
      </c>
      <c r="C461" s="222"/>
      <c r="D461" s="53" t="s">
        <v>58</v>
      </c>
      <c r="E461" s="295">
        <f>14.6*11.4</f>
        <v>166.44</v>
      </c>
      <c r="F461" s="220"/>
      <c r="G461" s="234">
        <f>E461*F461</f>
        <v>0</v>
      </c>
    </row>
    <row r="462" spans="1:7" s="183" customFormat="1" ht="15.75" x14ac:dyDescent="0.25">
      <c r="A462" s="235" t="s">
        <v>612</v>
      </c>
      <c r="B462" s="223" t="s">
        <v>613</v>
      </c>
      <c r="C462" s="223"/>
      <c r="D462" s="53"/>
      <c r="E462" s="295"/>
      <c r="F462" s="220"/>
      <c r="G462" s="234"/>
    </row>
    <row r="463" spans="1:7" s="183" customFormat="1" ht="30" x14ac:dyDescent="0.25">
      <c r="A463" s="235" t="s">
        <v>614</v>
      </c>
      <c r="B463" s="222" t="s">
        <v>615</v>
      </c>
      <c r="C463" s="222"/>
      <c r="D463" s="53" t="s">
        <v>58</v>
      </c>
      <c r="E463" s="295">
        <f>1.2*1.2*6+1.5*1.2*4*6+1.6*(16.8+8.4)</f>
        <v>92.16</v>
      </c>
      <c r="F463" s="220"/>
      <c r="G463" s="234">
        <f>E463*F463</f>
        <v>0</v>
      </c>
    </row>
    <row r="464" spans="1:7" s="183" customFormat="1" ht="15.75" x14ac:dyDescent="0.25">
      <c r="A464" s="233"/>
      <c r="B464" s="229" t="s">
        <v>616</v>
      </c>
      <c r="C464" s="229"/>
      <c r="D464" s="53"/>
      <c r="E464" s="295"/>
      <c r="F464" s="220"/>
      <c r="G464" s="234"/>
    </row>
    <row r="465" spans="1:7" ht="18" x14ac:dyDescent="0.25">
      <c r="A465" s="235" t="s">
        <v>617</v>
      </c>
      <c r="B465" s="222" t="s">
        <v>618</v>
      </c>
      <c r="C465" s="222"/>
      <c r="D465" s="53" t="s">
        <v>61</v>
      </c>
      <c r="E465" s="295">
        <f>14.6*10.4*1.5</f>
        <v>227.76</v>
      </c>
      <c r="F465" s="220"/>
      <c r="G465" s="234">
        <f>E465*F465</f>
        <v>0</v>
      </c>
    </row>
    <row r="466" spans="1:7" ht="18" x14ac:dyDescent="0.25">
      <c r="A466" s="235" t="s">
        <v>619</v>
      </c>
      <c r="B466" s="222" t="s">
        <v>620</v>
      </c>
      <c r="C466" s="222"/>
      <c r="D466" s="53" t="s">
        <v>61</v>
      </c>
      <c r="E466" s="295">
        <f>1.2*0.6*6.6+0.6*0.6*3*3+0.6*0.6*6</f>
        <v>10.152000000000001</v>
      </c>
      <c r="F466" s="220"/>
      <c r="G466" s="234">
        <f>E466*F466</f>
        <v>0</v>
      </c>
    </row>
    <row r="467" spans="1:7" ht="18" x14ac:dyDescent="0.25">
      <c r="A467" s="235" t="s">
        <v>621</v>
      </c>
      <c r="B467" s="222" t="s">
        <v>622</v>
      </c>
      <c r="C467" s="222"/>
      <c r="D467" s="53" t="s">
        <v>61</v>
      </c>
      <c r="E467" s="295">
        <f>1.2*1.2*1*6</f>
        <v>8.64</v>
      </c>
      <c r="F467" s="220"/>
      <c r="G467" s="234">
        <f>E467*F467</f>
        <v>0</v>
      </c>
    </row>
    <row r="468" spans="1:7" ht="18" x14ac:dyDescent="0.25">
      <c r="A468" s="235" t="s">
        <v>623</v>
      </c>
      <c r="B468" s="223" t="s">
        <v>624</v>
      </c>
      <c r="C468" s="223"/>
      <c r="D468" s="53" t="s">
        <v>61</v>
      </c>
      <c r="E468" s="295">
        <f>(E466+E467)*0.1</f>
        <v>1.8792000000000002</v>
      </c>
      <c r="F468" s="220"/>
      <c r="G468" s="234">
        <f>E468*F468</f>
        <v>0</v>
      </c>
    </row>
    <row r="469" spans="1:7" x14ac:dyDescent="0.25">
      <c r="A469" s="233"/>
      <c r="B469" s="229" t="s">
        <v>625</v>
      </c>
      <c r="C469" s="229"/>
      <c r="D469" s="53"/>
      <c r="E469" s="295"/>
      <c r="F469" s="220"/>
      <c r="G469" s="234"/>
    </row>
    <row r="470" spans="1:7" s="236" customFormat="1" ht="18" x14ac:dyDescent="0.25">
      <c r="A470" s="235" t="s">
        <v>626</v>
      </c>
      <c r="B470" s="223" t="s">
        <v>627</v>
      </c>
      <c r="C470" s="223"/>
      <c r="D470" s="53" t="s">
        <v>61</v>
      </c>
      <c r="E470" s="295">
        <f>E466/3</f>
        <v>3.3840000000000003</v>
      </c>
      <c r="F470" s="220"/>
      <c r="G470" s="234">
        <f>E470*F470</f>
        <v>0</v>
      </c>
    </row>
    <row r="471" spans="1:7" s="236" customFormat="1" ht="15.75" x14ac:dyDescent="0.25">
      <c r="A471" s="235"/>
      <c r="B471" s="223" t="s">
        <v>628</v>
      </c>
      <c r="C471" s="223"/>
      <c r="D471" s="53"/>
      <c r="E471" s="295"/>
      <c r="F471" s="220"/>
      <c r="G471" s="234"/>
    </row>
    <row r="472" spans="1:7" ht="18" x14ac:dyDescent="0.25">
      <c r="A472" s="235" t="s">
        <v>629</v>
      </c>
      <c r="B472" s="223" t="s">
        <v>630</v>
      </c>
      <c r="C472" s="223"/>
      <c r="D472" s="53" t="s">
        <v>61</v>
      </c>
      <c r="E472" s="295">
        <f>E465+E466+E467-E470</f>
        <v>243.16799999999995</v>
      </c>
      <c r="F472" s="220"/>
      <c r="G472" s="234">
        <f>E472*F472</f>
        <v>0</v>
      </c>
    </row>
    <row r="473" spans="1:7" x14ac:dyDescent="0.25">
      <c r="A473" s="235"/>
      <c r="B473" s="223" t="s">
        <v>631</v>
      </c>
      <c r="C473" s="223"/>
      <c r="D473" s="53"/>
      <c r="E473" s="295"/>
      <c r="F473" s="220"/>
      <c r="G473" s="234"/>
    </row>
    <row r="474" spans="1:7" s="236" customFormat="1" ht="15.75" x14ac:dyDescent="0.25">
      <c r="A474" s="235" t="s">
        <v>632</v>
      </c>
      <c r="B474" s="222" t="s">
        <v>633</v>
      </c>
      <c r="C474" s="222"/>
      <c r="D474" s="53" t="s">
        <v>49</v>
      </c>
      <c r="E474" s="295">
        <v>1</v>
      </c>
      <c r="F474" s="220"/>
      <c r="G474" s="234">
        <f>E474*F474</f>
        <v>0</v>
      </c>
    </row>
    <row r="475" spans="1:7" x14ac:dyDescent="0.25">
      <c r="A475" s="233"/>
      <c r="B475" s="229" t="s">
        <v>634</v>
      </c>
      <c r="C475" s="229"/>
      <c r="D475" s="53"/>
      <c r="E475" s="295"/>
      <c r="F475" s="220"/>
      <c r="G475" s="234"/>
    </row>
    <row r="476" spans="1:7" x14ac:dyDescent="0.25">
      <c r="A476" s="235" t="s">
        <v>635</v>
      </c>
      <c r="B476" s="222" t="s">
        <v>636</v>
      </c>
      <c r="C476" s="222"/>
      <c r="D476" s="53" t="s">
        <v>49</v>
      </c>
      <c r="E476" s="295">
        <v>1</v>
      </c>
      <c r="F476" s="220"/>
      <c r="G476" s="234">
        <f>E476*F476</f>
        <v>0</v>
      </c>
    </row>
    <row r="477" spans="1:7" x14ac:dyDescent="0.25">
      <c r="A477" s="235" t="s">
        <v>637</v>
      </c>
      <c r="B477" s="223" t="s">
        <v>638</v>
      </c>
      <c r="C477" s="223"/>
      <c r="D477" s="53"/>
      <c r="E477" s="295"/>
      <c r="F477" s="220"/>
      <c r="G477" s="234"/>
    </row>
    <row r="478" spans="1:7" s="236" customFormat="1" ht="18" x14ac:dyDescent="0.25">
      <c r="A478" s="235" t="s">
        <v>639</v>
      </c>
      <c r="B478" s="223" t="s">
        <v>640</v>
      </c>
      <c r="C478" s="223"/>
      <c r="D478" s="53" t="s">
        <v>58</v>
      </c>
      <c r="E478" s="295">
        <f>1.2*1.2*6</f>
        <v>8.64</v>
      </c>
      <c r="F478" s="220"/>
      <c r="G478" s="234">
        <f>E478*F478</f>
        <v>0</v>
      </c>
    </row>
    <row r="479" spans="1:7" ht="18" x14ac:dyDescent="0.25">
      <c r="A479" s="235" t="s">
        <v>641</v>
      </c>
      <c r="B479" s="223" t="s">
        <v>642</v>
      </c>
      <c r="C479" s="223"/>
      <c r="D479" s="53" t="s">
        <v>58</v>
      </c>
      <c r="E479" s="295">
        <f>8*4</f>
        <v>32</v>
      </c>
      <c r="F479" s="220"/>
      <c r="G479" s="234">
        <f t="shared" ref="G479" si="21">E479*F479</f>
        <v>0</v>
      </c>
    </row>
    <row r="480" spans="1:7" ht="28.5" x14ac:dyDescent="0.25">
      <c r="A480" s="233"/>
      <c r="B480" s="237" t="s">
        <v>643</v>
      </c>
      <c r="C480" s="237"/>
      <c r="D480" s="53"/>
      <c r="E480" s="295"/>
      <c r="F480" s="220"/>
      <c r="G480" s="234"/>
    </row>
    <row r="481" spans="1:7" ht="18" x14ac:dyDescent="0.25">
      <c r="A481" s="235" t="s">
        <v>644</v>
      </c>
      <c r="B481" s="223" t="s">
        <v>645</v>
      </c>
      <c r="C481" s="223"/>
      <c r="D481" s="53" t="s">
        <v>61</v>
      </c>
      <c r="E481" s="295">
        <f>0.6*0.6*0.3*6</f>
        <v>0.64800000000000002</v>
      </c>
      <c r="F481" s="220"/>
      <c r="G481" s="234">
        <f t="shared" ref="G481:G485" si="22">E481*F481</f>
        <v>0</v>
      </c>
    </row>
    <row r="482" spans="1:7" ht="18" x14ac:dyDescent="0.25">
      <c r="A482" s="235" t="s">
        <v>646</v>
      </c>
      <c r="B482" s="223" t="s">
        <v>647</v>
      </c>
      <c r="C482" s="223"/>
      <c r="D482" s="53" t="s">
        <v>61</v>
      </c>
      <c r="E482" s="295">
        <f>0.2*0.2*0.7*6</f>
        <v>0.16800000000000004</v>
      </c>
      <c r="F482" s="220"/>
      <c r="G482" s="234">
        <f t="shared" si="22"/>
        <v>0</v>
      </c>
    </row>
    <row r="483" spans="1:7" ht="18" x14ac:dyDescent="0.25">
      <c r="A483" s="235" t="s">
        <v>648</v>
      </c>
      <c r="B483" s="223" t="s">
        <v>649</v>
      </c>
      <c r="C483" s="223"/>
      <c r="D483" s="53" t="s">
        <v>61</v>
      </c>
      <c r="E483" s="295">
        <f>20*0.2*0.2</f>
        <v>0.8</v>
      </c>
      <c r="F483" s="220"/>
      <c r="G483" s="234">
        <f t="shared" si="22"/>
        <v>0</v>
      </c>
    </row>
    <row r="484" spans="1:7" ht="18" x14ac:dyDescent="0.25">
      <c r="A484" s="235" t="s">
        <v>650</v>
      </c>
      <c r="B484" s="223" t="s">
        <v>651</v>
      </c>
      <c r="C484" s="223"/>
      <c r="D484" s="53" t="s">
        <v>61</v>
      </c>
      <c r="E484" s="295">
        <f>1*0.3*8.6</f>
        <v>2.5799999999999996</v>
      </c>
      <c r="F484" s="220"/>
      <c r="G484" s="234">
        <f t="shared" si="22"/>
        <v>0</v>
      </c>
    </row>
    <row r="485" spans="1:7" ht="18" x14ac:dyDescent="0.25">
      <c r="A485" s="235" t="s">
        <v>652</v>
      </c>
      <c r="B485" s="223" t="s">
        <v>653</v>
      </c>
      <c r="C485" s="223"/>
      <c r="D485" s="53" t="s">
        <v>61</v>
      </c>
      <c r="E485" s="295">
        <f>8*2.7</f>
        <v>21.6</v>
      </c>
      <c r="F485" s="220"/>
      <c r="G485" s="234">
        <f t="shared" si="22"/>
        <v>0</v>
      </c>
    </row>
    <row r="486" spans="1:7" x14ac:dyDescent="0.25">
      <c r="A486" s="233"/>
      <c r="B486" s="229" t="s">
        <v>654</v>
      </c>
      <c r="C486" s="229"/>
      <c r="D486" s="53"/>
      <c r="E486" s="295"/>
      <c r="F486" s="220"/>
      <c r="G486" s="234"/>
    </row>
    <row r="487" spans="1:7" ht="18" x14ac:dyDescent="0.25">
      <c r="A487" s="235" t="s">
        <v>655</v>
      </c>
      <c r="B487" s="222" t="s">
        <v>656</v>
      </c>
      <c r="C487" s="222"/>
      <c r="D487" s="53" t="s">
        <v>58</v>
      </c>
      <c r="E487" s="295">
        <f>8*4</f>
        <v>32</v>
      </c>
      <c r="F487" s="220"/>
      <c r="G487" s="234">
        <f>E487*F487</f>
        <v>0</v>
      </c>
    </row>
    <row r="488" spans="1:7" ht="18" x14ac:dyDescent="0.25">
      <c r="A488" s="235" t="s">
        <v>657</v>
      </c>
      <c r="B488" s="223" t="s">
        <v>658</v>
      </c>
      <c r="C488" s="223"/>
      <c r="D488" s="53" t="s">
        <v>58</v>
      </c>
      <c r="E488" s="295">
        <f>8*4</f>
        <v>32</v>
      </c>
      <c r="F488" s="220"/>
      <c r="G488" s="234">
        <f>E488*F488</f>
        <v>0</v>
      </c>
    </row>
    <row r="489" spans="1:7" x14ac:dyDescent="0.25">
      <c r="A489" s="233"/>
      <c r="B489" s="229" t="s">
        <v>659</v>
      </c>
      <c r="C489" s="229"/>
      <c r="D489" s="53"/>
      <c r="E489" s="295"/>
      <c r="F489" s="220"/>
      <c r="G489" s="234"/>
    </row>
    <row r="490" spans="1:7" ht="18" x14ac:dyDescent="0.25">
      <c r="A490" s="235" t="s">
        <v>660</v>
      </c>
      <c r="B490" s="222" t="s">
        <v>661</v>
      </c>
      <c r="C490" s="222"/>
      <c r="D490" s="53" t="s">
        <v>58</v>
      </c>
      <c r="E490" s="295">
        <f>8*4</f>
        <v>32</v>
      </c>
      <c r="F490" s="220"/>
      <c r="G490" s="234">
        <f>E490*F490</f>
        <v>0</v>
      </c>
    </row>
    <row r="491" spans="1:7" x14ac:dyDescent="0.25">
      <c r="A491" s="233"/>
      <c r="B491" s="229" t="s">
        <v>662</v>
      </c>
      <c r="C491" s="229"/>
      <c r="D491" s="53"/>
      <c r="E491" s="295"/>
      <c r="F491" s="220"/>
      <c r="G491" s="234"/>
    </row>
    <row r="492" spans="1:7" ht="18" x14ac:dyDescent="0.25">
      <c r="A492" s="235" t="s">
        <v>663</v>
      </c>
      <c r="B492" s="223" t="s">
        <v>664</v>
      </c>
      <c r="C492" s="223"/>
      <c r="D492" s="53" t="s">
        <v>58</v>
      </c>
      <c r="E492" s="295">
        <f>32+32*0.1+0.6*17</f>
        <v>45.400000000000006</v>
      </c>
      <c r="F492" s="220"/>
      <c r="G492" s="234">
        <f t="shared" ref="G492" si="23">E492*F492</f>
        <v>0</v>
      </c>
    </row>
    <row r="493" spans="1:7" x14ac:dyDescent="0.25">
      <c r="A493" s="235" t="s">
        <v>665</v>
      </c>
      <c r="B493" s="223" t="s">
        <v>666</v>
      </c>
      <c r="C493" s="223"/>
      <c r="D493" s="53"/>
      <c r="E493" s="295"/>
      <c r="F493" s="220"/>
      <c r="G493" s="234"/>
    </row>
    <row r="494" spans="1:7" ht="30" x14ac:dyDescent="0.25">
      <c r="A494" s="235" t="s">
        <v>667</v>
      </c>
      <c r="B494" s="222" t="s">
        <v>668</v>
      </c>
      <c r="C494" s="222"/>
      <c r="D494" s="53" t="s">
        <v>68</v>
      </c>
      <c r="E494" s="295">
        <f>8+12</f>
        <v>20</v>
      </c>
      <c r="F494" s="220"/>
      <c r="G494" s="234">
        <f>E494*F494</f>
        <v>0</v>
      </c>
    </row>
    <row r="495" spans="1:7" x14ac:dyDescent="0.25">
      <c r="A495" s="233"/>
      <c r="B495" s="229" t="s">
        <v>669</v>
      </c>
      <c r="C495" s="229"/>
      <c r="D495" s="53"/>
      <c r="E495" s="295"/>
      <c r="F495" s="220"/>
      <c r="G495" s="234"/>
    </row>
    <row r="496" spans="1:7" ht="30" x14ac:dyDescent="0.25">
      <c r="A496" s="235" t="s">
        <v>670</v>
      </c>
      <c r="B496" s="222" t="s">
        <v>671</v>
      </c>
      <c r="C496" s="222"/>
      <c r="D496" s="53" t="s">
        <v>58</v>
      </c>
      <c r="E496" s="295">
        <f>20*2.85</f>
        <v>57</v>
      </c>
      <c r="F496" s="220"/>
      <c r="G496" s="234">
        <f t="shared" ref="G496:G501" si="24">E496*F496</f>
        <v>0</v>
      </c>
    </row>
    <row r="497" spans="1:7" ht="30" x14ac:dyDescent="0.25">
      <c r="A497" s="235" t="s">
        <v>672</v>
      </c>
      <c r="B497" s="222" t="s">
        <v>673</v>
      </c>
      <c r="C497" s="222"/>
      <c r="D497" s="53" t="s">
        <v>58</v>
      </c>
      <c r="E497" s="295">
        <f>1.5*1.2*2.8</f>
        <v>5.0399999999999991</v>
      </c>
      <c r="F497" s="220"/>
      <c r="G497" s="234">
        <f t="shared" si="24"/>
        <v>0</v>
      </c>
    </row>
    <row r="498" spans="1:7" x14ac:dyDescent="0.25">
      <c r="A498" s="233"/>
      <c r="B498" s="229" t="s">
        <v>674</v>
      </c>
      <c r="C498" s="229"/>
      <c r="D498" s="53"/>
      <c r="E498" s="295"/>
      <c r="F498" s="220"/>
      <c r="G498" s="234">
        <f t="shared" si="24"/>
        <v>0</v>
      </c>
    </row>
    <row r="499" spans="1:7" ht="18" x14ac:dyDescent="0.25">
      <c r="A499" s="235" t="s">
        <v>675</v>
      </c>
      <c r="B499" s="223" t="s">
        <v>676</v>
      </c>
      <c r="C499" s="223"/>
      <c r="D499" s="53" t="s">
        <v>58</v>
      </c>
      <c r="E499" s="295">
        <f>(8*2+4*4+3*2.4+0.8*2.85*6+16*0.2)*2.85</f>
        <v>159.82800000000003</v>
      </c>
      <c r="F499" s="220"/>
      <c r="G499" s="234">
        <f t="shared" si="24"/>
        <v>0</v>
      </c>
    </row>
    <row r="500" spans="1:7" ht="18" x14ac:dyDescent="0.25">
      <c r="A500" s="235" t="s">
        <v>677</v>
      </c>
      <c r="B500" s="222" t="s">
        <v>678</v>
      </c>
      <c r="C500" s="222"/>
      <c r="D500" s="53" t="s">
        <v>58</v>
      </c>
      <c r="E500" s="295">
        <f>(8*2+4*4+3*2.4+0.8*2.85*3)*2.85</f>
        <v>131.21400000000003</v>
      </c>
      <c r="F500" s="220"/>
      <c r="G500" s="234">
        <f t="shared" si="24"/>
        <v>0</v>
      </c>
    </row>
    <row r="501" spans="1:7" ht="18" x14ac:dyDescent="0.25">
      <c r="A501" s="235" t="s">
        <v>679</v>
      </c>
      <c r="B501" s="222" t="s">
        <v>680</v>
      </c>
      <c r="C501" s="222"/>
      <c r="D501" s="53" t="s">
        <v>58</v>
      </c>
      <c r="E501" s="295">
        <f>E499-E500</f>
        <v>28.614000000000004</v>
      </c>
      <c r="F501" s="220"/>
      <c r="G501" s="234">
        <f t="shared" si="24"/>
        <v>0</v>
      </c>
    </row>
    <row r="502" spans="1:7" x14ac:dyDescent="0.25">
      <c r="A502" s="233"/>
      <c r="B502" s="229" t="s">
        <v>681</v>
      </c>
      <c r="C502" s="229"/>
      <c r="D502" s="53"/>
      <c r="E502" s="295"/>
      <c r="F502" s="220"/>
      <c r="G502" s="234"/>
    </row>
    <row r="503" spans="1:7" x14ac:dyDescent="0.25">
      <c r="A503" s="233"/>
      <c r="B503" s="229" t="s">
        <v>682</v>
      </c>
      <c r="C503" s="229"/>
      <c r="D503" s="53"/>
      <c r="E503" s="295"/>
      <c r="F503" s="220"/>
      <c r="G503" s="234"/>
    </row>
    <row r="504" spans="1:7" x14ac:dyDescent="0.25">
      <c r="A504" s="233"/>
      <c r="B504" s="237" t="s">
        <v>683</v>
      </c>
      <c r="C504" s="237"/>
      <c r="D504" s="53"/>
      <c r="E504" s="295"/>
      <c r="F504" s="220"/>
      <c r="G504" s="234"/>
    </row>
    <row r="505" spans="1:7" x14ac:dyDescent="0.25">
      <c r="A505" s="235" t="s">
        <v>684</v>
      </c>
      <c r="B505" s="223" t="s">
        <v>685</v>
      </c>
      <c r="C505" s="223"/>
      <c r="D505" s="53" t="s">
        <v>686</v>
      </c>
      <c r="E505" s="295">
        <v>1</v>
      </c>
      <c r="F505" s="220"/>
      <c r="G505" s="234">
        <f>E505*F505</f>
        <v>0</v>
      </c>
    </row>
    <row r="506" spans="1:7" x14ac:dyDescent="0.25">
      <c r="A506" s="235" t="s">
        <v>687</v>
      </c>
      <c r="B506" s="223" t="s">
        <v>688</v>
      </c>
      <c r="C506" s="223"/>
      <c r="D506" s="53" t="s">
        <v>686</v>
      </c>
      <c r="E506" s="295">
        <v>1</v>
      </c>
      <c r="F506" s="220"/>
      <c r="G506" s="234">
        <f>E506*F506</f>
        <v>0</v>
      </c>
    </row>
    <row r="507" spans="1:7" x14ac:dyDescent="0.25">
      <c r="A507" s="233"/>
      <c r="B507" s="229" t="s">
        <v>689</v>
      </c>
      <c r="C507" s="229"/>
      <c r="D507" s="53"/>
      <c r="E507" s="295"/>
      <c r="F507" s="220"/>
      <c r="G507" s="234"/>
    </row>
    <row r="508" spans="1:7" x14ac:dyDescent="0.25">
      <c r="A508" s="235" t="s">
        <v>690</v>
      </c>
      <c r="B508" s="223" t="s">
        <v>691</v>
      </c>
      <c r="C508" s="223"/>
      <c r="D508" s="53" t="s">
        <v>686</v>
      </c>
      <c r="E508" s="295">
        <v>1</v>
      </c>
      <c r="F508" s="220"/>
      <c r="G508" s="234">
        <f>E508*F508</f>
        <v>0</v>
      </c>
    </row>
    <row r="509" spans="1:7" x14ac:dyDescent="0.25">
      <c r="A509" s="233"/>
      <c r="B509" s="229" t="s">
        <v>692</v>
      </c>
      <c r="C509" s="229"/>
      <c r="D509" s="53"/>
      <c r="E509" s="295"/>
      <c r="F509" s="220"/>
      <c r="G509" s="234"/>
    </row>
    <row r="510" spans="1:7" ht="28.5" x14ac:dyDescent="0.25">
      <c r="A510" s="233"/>
      <c r="B510" s="237" t="s">
        <v>693</v>
      </c>
      <c r="C510" s="237"/>
      <c r="D510" s="53"/>
      <c r="E510" s="295"/>
      <c r="F510" s="220"/>
      <c r="G510" s="234"/>
    </row>
    <row r="511" spans="1:7" x14ac:dyDescent="0.25">
      <c r="A511" s="235" t="s">
        <v>694</v>
      </c>
      <c r="B511" s="223" t="s">
        <v>695</v>
      </c>
      <c r="C511" s="223"/>
      <c r="D511" s="53" t="s">
        <v>686</v>
      </c>
      <c r="E511" s="295">
        <v>1</v>
      </c>
      <c r="F511" s="220"/>
      <c r="G511" s="234">
        <f>E511*F511</f>
        <v>0</v>
      </c>
    </row>
    <row r="512" spans="1:7" x14ac:dyDescent="0.25">
      <c r="A512" s="235" t="s">
        <v>696</v>
      </c>
      <c r="B512" s="223" t="s">
        <v>697</v>
      </c>
      <c r="C512" s="223"/>
      <c r="D512" s="53" t="s">
        <v>686</v>
      </c>
      <c r="E512" s="295">
        <v>1</v>
      </c>
      <c r="F512" s="220"/>
      <c r="G512" s="234">
        <f t="shared" ref="G512:G513" si="25">E512*F512</f>
        <v>0</v>
      </c>
    </row>
    <row r="513" spans="1:7" x14ac:dyDescent="0.25">
      <c r="A513" s="235" t="s">
        <v>698</v>
      </c>
      <c r="B513" s="223" t="s">
        <v>699</v>
      </c>
      <c r="C513" s="223"/>
      <c r="D513" s="53" t="s">
        <v>686</v>
      </c>
      <c r="E513" s="295">
        <v>1</v>
      </c>
      <c r="F513" s="220"/>
      <c r="G513" s="234">
        <f t="shared" si="25"/>
        <v>0</v>
      </c>
    </row>
    <row r="514" spans="1:7" x14ac:dyDescent="0.25">
      <c r="A514" s="233"/>
      <c r="B514" s="229" t="s">
        <v>700</v>
      </c>
      <c r="C514" s="229"/>
      <c r="D514" s="53"/>
      <c r="E514" s="295"/>
      <c r="F514" s="220"/>
      <c r="G514" s="234"/>
    </row>
    <row r="515" spans="1:7" ht="30" x14ac:dyDescent="0.25">
      <c r="A515" s="235" t="s">
        <v>701</v>
      </c>
      <c r="B515" s="222" t="s">
        <v>702</v>
      </c>
      <c r="C515" s="222"/>
      <c r="D515" s="53" t="s">
        <v>58</v>
      </c>
      <c r="E515" s="295">
        <f>9.2*5.2</f>
        <v>47.839999999999996</v>
      </c>
      <c r="F515" s="220"/>
      <c r="G515" s="234">
        <f>E515*F515</f>
        <v>0</v>
      </c>
    </row>
    <row r="516" spans="1:7" x14ac:dyDescent="0.25">
      <c r="A516" s="233"/>
      <c r="B516" s="229" t="s">
        <v>703</v>
      </c>
      <c r="C516" s="229"/>
      <c r="D516" s="53"/>
      <c r="E516" s="295"/>
      <c r="F516" s="220"/>
      <c r="G516" s="234"/>
    </row>
    <row r="517" spans="1:7" ht="60" x14ac:dyDescent="0.25">
      <c r="A517" s="235" t="s">
        <v>704</v>
      </c>
      <c r="B517" s="222" t="s">
        <v>705</v>
      </c>
      <c r="C517" s="222"/>
      <c r="D517" s="53" t="s">
        <v>58</v>
      </c>
      <c r="E517" s="295">
        <f>5.2*9.8*1.1</f>
        <v>56.056000000000012</v>
      </c>
      <c r="F517" s="220"/>
      <c r="G517" s="234">
        <f>E517*F517</f>
        <v>0</v>
      </c>
    </row>
    <row r="518" spans="1:7" x14ac:dyDescent="0.25">
      <c r="A518" s="233"/>
      <c r="B518" s="229" t="s">
        <v>706</v>
      </c>
      <c r="C518" s="229"/>
      <c r="D518" s="53"/>
      <c r="E518" s="295"/>
      <c r="F518" s="220"/>
      <c r="G518" s="234"/>
    </row>
    <row r="519" spans="1:7" x14ac:dyDescent="0.25">
      <c r="A519" s="235" t="s">
        <v>707</v>
      </c>
      <c r="B519" s="222" t="s">
        <v>708</v>
      </c>
      <c r="C519" s="222"/>
      <c r="D519" s="53" t="s">
        <v>686</v>
      </c>
      <c r="E519" s="295">
        <v>1</v>
      </c>
      <c r="F519" s="220"/>
      <c r="G519" s="234">
        <f>E519*F519</f>
        <v>0</v>
      </c>
    </row>
    <row r="520" spans="1:7" x14ac:dyDescent="0.25">
      <c r="A520" s="233"/>
      <c r="B520" s="229" t="s">
        <v>709</v>
      </c>
      <c r="C520" s="229"/>
      <c r="D520" s="53"/>
      <c r="E520" s="295"/>
      <c r="F520" s="220"/>
      <c r="G520" s="234"/>
    </row>
    <row r="521" spans="1:7" x14ac:dyDescent="0.25">
      <c r="A521" s="235" t="s">
        <v>710</v>
      </c>
      <c r="B521" s="222" t="s">
        <v>711</v>
      </c>
      <c r="C521" s="222"/>
      <c r="D521" s="47" t="s">
        <v>68</v>
      </c>
      <c r="E521" s="295">
        <v>8.6</v>
      </c>
      <c r="F521" s="220"/>
      <c r="G521" s="234">
        <f>E521*F521</f>
        <v>0</v>
      </c>
    </row>
    <row r="522" spans="1:7" x14ac:dyDescent="0.25">
      <c r="A522" s="235" t="s">
        <v>712</v>
      </c>
      <c r="B522" s="223" t="s">
        <v>713</v>
      </c>
      <c r="C522" s="223"/>
      <c r="D522" s="47" t="s">
        <v>68</v>
      </c>
      <c r="E522" s="295">
        <v>3</v>
      </c>
      <c r="F522" s="220"/>
      <c r="G522" s="234">
        <f>E522*F522</f>
        <v>0</v>
      </c>
    </row>
    <row r="523" spans="1:7" x14ac:dyDescent="0.25">
      <c r="A523" s="235" t="s">
        <v>714</v>
      </c>
      <c r="B523" s="223" t="s">
        <v>715</v>
      </c>
      <c r="C523" s="223"/>
      <c r="D523" s="47" t="s">
        <v>68</v>
      </c>
      <c r="E523" s="295">
        <v>1</v>
      </c>
      <c r="F523" s="220"/>
      <c r="G523" s="234">
        <f>E523*F523</f>
        <v>0</v>
      </c>
    </row>
    <row r="524" spans="1:7" x14ac:dyDescent="0.25">
      <c r="A524" s="233"/>
      <c r="B524" s="229" t="s">
        <v>716</v>
      </c>
      <c r="C524" s="229"/>
      <c r="D524" s="53"/>
      <c r="E524" s="295"/>
      <c r="F524" s="220"/>
      <c r="G524" s="234"/>
    </row>
    <row r="525" spans="1:7" x14ac:dyDescent="0.25">
      <c r="A525" s="235" t="s">
        <v>717</v>
      </c>
      <c r="B525" s="222" t="s">
        <v>718</v>
      </c>
      <c r="C525" s="222"/>
      <c r="D525" s="53" t="s">
        <v>719</v>
      </c>
      <c r="E525" s="295">
        <v>1</v>
      </c>
      <c r="F525" s="220"/>
      <c r="G525" s="234">
        <f>E525*F525</f>
        <v>0</v>
      </c>
    </row>
    <row r="526" spans="1:7" x14ac:dyDescent="0.25">
      <c r="A526" s="212"/>
      <c r="B526" s="213"/>
      <c r="C526" s="213"/>
      <c r="D526" s="214"/>
      <c r="E526" s="350"/>
      <c r="F526" s="215"/>
      <c r="G526" s="216"/>
    </row>
    <row r="527" spans="1:7" x14ac:dyDescent="0.2">
      <c r="A527" s="154"/>
      <c r="B527" s="155" t="s">
        <v>720</v>
      </c>
      <c r="C527" s="155"/>
      <c r="D527" s="238"/>
      <c r="E527" s="353"/>
      <c r="F527" s="239"/>
      <c r="G527" s="218">
        <f>SUM(G461:G525)</f>
        <v>0</v>
      </c>
    </row>
    <row r="528" spans="1:7" x14ac:dyDescent="0.2">
      <c r="A528" s="212"/>
      <c r="B528" s="213"/>
      <c r="C528" s="213"/>
      <c r="D528" s="240"/>
      <c r="E528" s="354"/>
      <c r="F528" s="241"/>
      <c r="G528" s="216"/>
    </row>
    <row r="529" spans="1:7" x14ac:dyDescent="0.25">
      <c r="A529" s="209">
        <v>8.3000000000000007</v>
      </c>
      <c r="B529" s="155" t="s">
        <v>721</v>
      </c>
      <c r="C529" s="155"/>
      <c r="D529" s="230"/>
      <c r="E529" s="352"/>
      <c r="F529" s="231"/>
      <c r="G529" s="232"/>
    </row>
    <row r="530" spans="1:7" x14ac:dyDescent="0.25">
      <c r="A530" s="153"/>
      <c r="B530" s="242"/>
      <c r="C530" s="242"/>
      <c r="D530" s="243"/>
      <c r="E530" s="355"/>
      <c r="F530" s="164"/>
      <c r="G530" s="244"/>
    </row>
    <row r="531" spans="1:7" ht="18" x14ac:dyDescent="0.25">
      <c r="A531" s="245" t="s">
        <v>722</v>
      </c>
      <c r="B531" s="246" t="s">
        <v>723</v>
      </c>
      <c r="C531" s="246"/>
      <c r="D531" s="247" t="s">
        <v>724</v>
      </c>
      <c r="E531" s="356">
        <f>5.8*4.9*0.3</f>
        <v>8.5259999999999998</v>
      </c>
      <c r="F531" s="248"/>
      <c r="G531" s="165">
        <f t="shared" ref="G531:G552" si="26">E531*F531</f>
        <v>0</v>
      </c>
    </row>
    <row r="532" spans="1:7" ht="18" x14ac:dyDescent="0.25">
      <c r="A532" s="245" t="s">
        <v>725</v>
      </c>
      <c r="B532" s="246" t="s">
        <v>726</v>
      </c>
      <c r="C532" s="246"/>
      <c r="D532" s="247" t="s">
        <v>724</v>
      </c>
      <c r="E532" s="356">
        <f>5.8*4.9*0.7</f>
        <v>19.893999999999998</v>
      </c>
      <c r="F532" s="248"/>
      <c r="G532" s="165">
        <f t="shared" si="26"/>
        <v>0</v>
      </c>
    </row>
    <row r="533" spans="1:7" ht="18" x14ac:dyDescent="0.25">
      <c r="A533" s="245" t="s">
        <v>727</v>
      </c>
      <c r="B533" s="246" t="s">
        <v>728</v>
      </c>
      <c r="C533" s="246"/>
      <c r="D533" s="247" t="s">
        <v>724</v>
      </c>
      <c r="E533" s="356">
        <f>3*2.2*3.8</f>
        <v>25.080000000000002</v>
      </c>
      <c r="F533" s="248"/>
      <c r="G533" s="165">
        <f t="shared" si="26"/>
        <v>0</v>
      </c>
    </row>
    <row r="534" spans="1:7" ht="18" x14ac:dyDescent="0.25">
      <c r="A534" s="245" t="s">
        <v>729</v>
      </c>
      <c r="B534" s="246" t="s">
        <v>730</v>
      </c>
      <c r="C534" s="246"/>
      <c r="D534" s="247" t="s">
        <v>724</v>
      </c>
      <c r="E534" s="356">
        <f>4*0.4*0.7</f>
        <v>1.1199999999999999</v>
      </c>
      <c r="F534" s="248"/>
      <c r="G534" s="165">
        <f t="shared" si="26"/>
        <v>0</v>
      </c>
    </row>
    <row r="535" spans="1:7" ht="18" x14ac:dyDescent="0.25">
      <c r="A535" s="245" t="s">
        <v>731</v>
      </c>
      <c r="B535" s="246" t="s">
        <v>732</v>
      </c>
      <c r="C535" s="246"/>
      <c r="D535" s="247" t="s">
        <v>724</v>
      </c>
      <c r="E535" s="356">
        <f>4*0.4*0.05</f>
        <v>8.0000000000000016E-2</v>
      </c>
      <c r="F535" s="248"/>
      <c r="G535" s="165">
        <f t="shared" si="26"/>
        <v>0</v>
      </c>
    </row>
    <row r="536" spans="1:7" ht="18" x14ac:dyDescent="0.25">
      <c r="A536" s="245" t="s">
        <v>733</v>
      </c>
      <c r="B536" s="246" t="s">
        <v>734</v>
      </c>
      <c r="C536" s="246"/>
      <c r="D536" s="247" t="s">
        <v>724</v>
      </c>
      <c r="E536" s="356">
        <f>4*0.4*0.9</f>
        <v>1.4400000000000002</v>
      </c>
      <c r="F536" s="248"/>
      <c r="G536" s="165">
        <f t="shared" si="26"/>
        <v>0</v>
      </c>
    </row>
    <row r="537" spans="1:7" ht="18" x14ac:dyDescent="0.25">
      <c r="A537" s="245" t="s">
        <v>735</v>
      </c>
      <c r="B537" s="249" t="s">
        <v>736</v>
      </c>
      <c r="C537" s="249"/>
      <c r="D537" s="250" t="s">
        <v>724</v>
      </c>
      <c r="E537" s="357">
        <f>2.2*3.8*0.12</f>
        <v>1.0031999999999999</v>
      </c>
      <c r="F537" s="251"/>
      <c r="G537" s="252">
        <f t="shared" si="26"/>
        <v>0</v>
      </c>
    </row>
    <row r="538" spans="1:7" ht="18" x14ac:dyDescent="0.25">
      <c r="A538" s="245" t="s">
        <v>737</v>
      </c>
      <c r="B538" s="246" t="s">
        <v>738</v>
      </c>
      <c r="C538" s="246"/>
      <c r="D538" s="247" t="s">
        <v>724</v>
      </c>
      <c r="E538" s="356">
        <f>(((3.8+3.8+1.8+1.8+1.8)*0.2*3)+((7.6+3.9)*0.2*2.85))-(2.1*1*0.2*2)</f>
        <v>13.515000000000002</v>
      </c>
      <c r="F538" s="248"/>
      <c r="G538" s="165">
        <f t="shared" si="26"/>
        <v>0</v>
      </c>
    </row>
    <row r="539" spans="1:7" ht="18" x14ac:dyDescent="0.25">
      <c r="A539" s="245" t="s">
        <v>739</v>
      </c>
      <c r="B539" s="246" t="s">
        <v>740</v>
      </c>
      <c r="C539" s="246"/>
      <c r="D539" s="247" t="s">
        <v>724</v>
      </c>
      <c r="E539" s="356">
        <f>(3.8+3.8+1.3+1.3)*0.2*0.2</f>
        <v>0.40800000000000014</v>
      </c>
      <c r="F539" s="248"/>
      <c r="G539" s="165">
        <f t="shared" si="26"/>
        <v>0</v>
      </c>
    </row>
    <row r="540" spans="1:7" x14ac:dyDescent="0.25">
      <c r="A540" s="245" t="s">
        <v>741</v>
      </c>
      <c r="B540" s="253" t="s">
        <v>742</v>
      </c>
      <c r="C540" s="253"/>
      <c r="D540" s="247" t="s">
        <v>179</v>
      </c>
      <c r="E540" s="356">
        <v>6</v>
      </c>
      <c r="F540" s="248"/>
      <c r="G540" s="165">
        <f t="shared" si="26"/>
        <v>0</v>
      </c>
    </row>
    <row r="541" spans="1:7" x14ac:dyDescent="0.25">
      <c r="A541" s="245" t="s">
        <v>743</v>
      </c>
      <c r="B541" s="246" t="s">
        <v>744</v>
      </c>
      <c r="C541" s="246"/>
      <c r="D541" s="254" t="s">
        <v>68</v>
      </c>
      <c r="E541" s="356">
        <f>(2.5*3)+(4.6*3)</f>
        <v>21.299999999999997</v>
      </c>
      <c r="F541" s="248"/>
      <c r="G541" s="165">
        <f t="shared" si="26"/>
        <v>0</v>
      </c>
    </row>
    <row r="542" spans="1:7" ht="18" x14ac:dyDescent="0.25">
      <c r="A542" s="245" t="s">
        <v>745</v>
      </c>
      <c r="B542" s="246" t="s">
        <v>746</v>
      </c>
      <c r="C542" s="246"/>
      <c r="D542" s="247" t="s">
        <v>747</v>
      </c>
      <c r="E542" s="356">
        <f>4.6*2.6</f>
        <v>11.959999999999999</v>
      </c>
      <c r="F542" s="248"/>
      <c r="G542" s="165">
        <f t="shared" si="26"/>
        <v>0</v>
      </c>
    </row>
    <row r="543" spans="1:7" x14ac:dyDescent="0.25">
      <c r="A543" s="245" t="s">
        <v>748</v>
      </c>
      <c r="B543" s="246" t="s">
        <v>749</v>
      </c>
      <c r="C543" s="246"/>
      <c r="D543" s="254" t="s">
        <v>68</v>
      </c>
      <c r="E543" s="356">
        <f>(4.6+2.5)*2</f>
        <v>14.2</v>
      </c>
      <c r="F543" s="248"/>
      <c r="G543" s="165">
        <f t="shared" si="26"/>
        <v>0</v>
      </c>
    </row>
    <row r="544" spans="1:7" x14ac:dyDescent="0.25">
      <c r="A544" s="245" t="s">
        <v>750</v>
      </c>
      <c r="B544" s="246" t="s">
        <v>751</v>
      </c>
      <c r="C544" s="246"/>
      <c r="D544" s="247" t="s">
        <v>179</v>
      </c>
      <c r="E544" s="356">
        <v>2</v>
      </c>
      <c r="F544" s="248"/>
      <c r="G544" s="165">
        <f t="shared" si="26"/>
        <v>0</v>
      </c>
    </row>
    <row r="545" spans="1:7" x14ac:dyDescent="0.25">
      <c r="A545" s="245" t="s">
        <v>752</v>
      </c>
      <c r="B545" s="246" t="s">
        <v>753</v>
      </c>
      <c r="C545" s="246"/>
      <c r="D545" s="254" t="s">
        <v>68</v>
      </c>
      <c r="E545" s="356">
        <v>8</v>
      </c>
      <c r="F545" s="248"/>
      <c r="G545" s="165">
        <f t="shared" si="26"/>
        <v>0</v>
      </c>
    </row>
    <row r="546" spans="1:7" ht="18" x14ac:dyDescent="0.25">
      <c r="A546" s="245" t="s">
        <v>754</v>
      </c>
      <c r="B546" s="246" t="s">
        <v>755</v>
      </c>
      <c r="C546" s="246"/>
      <c r="D546" s="247" t="s">
        <v>747</v>
      </c>
      <c r="E546" s="356">
        <f>22*0.15</f>
        <v>3.3</v>
      </c>
      <c r="F546" s="248"/>
      <c r="G546" s="165">
        <f t="shared" si="26"/>
        <v>0</v>
      </c>
    </row>
    <row r="547" spans="1:7" ht="18" x14ac:dyDescent="0.25">
      <c r="A547" s="245" t="s">
        <v>756</v>
      </c>
      <c r="B547" s="246" t="s">
        <v>757</v>
      </c>
      <c r="C547" s="246"/>
      <c r="D547" s="247" t="s">
        <v>747</v>
      </c>
      <c r="E547" s="356">
        <f>(10*2.8)</f>
        <v>28</v>
      </c>
      <c r="F547" s="248"/>
      <c r="G547" s="165">
        <f t="shared" si="26"/>
        <v>0</v>
      </c>
    </row>
    <row r="548" spans="1:7" ht="18" x14ac:dyDescent="0.25">
      <c r="A548" s="245" t="s">
        <v>758</v>
      </c>
      <c r="B548" s="246" t="s">
        <v>759</v>
      </c>
      <c r="C548" s="246"/>
      <c r="D548" s="247" t="s">
        <v>747</v>
      </c>
      <c r="E548" s="356">
        <f>(((3.8*2)+(1.7*2))*2.9)-(0.8*2.1)</f>
        <v>30.22</v>
      </c>
      <c r="F548" s="248"/>
      <c r="G548" s="165">
        <f t="shared" si="26"/>
        <v>0</v>
      </c>
    </row>
    <row r="549" spans="1:7" ht="18" x14ac:dyDescent="0.25">
      <c r="A549" s="245" t="s">
        <v>760</v>
      </c>
      <c r="B549" s="246" t="s">
        <v>761</v>
      </c>
      <c r="C549" s="246"/>
      <c r="D549" s="247" t="s">
        <v>747</v>
      </c>
      <c r="E549" s="356">
        <f>3.5*0.4</f>
        <v>1.4000000000000001</v>
      </c>
      <c r="F549" s="248"/>
      <c r="G549" s="165">
        <f t="shared" si="26"/>
        <v>0</v>
      </c>
    </row>
    <row r="550" spans="1:7" ht="18" x14ac:dyDescent="0.25">
      <c r="A550" s="245" t="s">
        <v>762</v>
      </c>
      <c r="B550" s="246" t="s">
        <v>763</v>
      </c>
      <c r="C550" s="246"/>
      <c r="D550" s="247" t="s">
        <v>747</v>
      </c>
      <c r="E550" s="356">
        <f>(1.6*1.3)*2</f>
        <v>4.16</v>
      </c>
      <c r="F550" s="248"/>
      <c r="G550" s="165">
        <f t="shared" si="26"/>
        <v>0</v>
      </c>
    </row>
    <row r="551" spans="1:7" ht="18" x14ac:dyDescent="0.25">
      <c r="A551" s="245" t="s">
        <v>764</v>
      </c>
      <c r="B551" s="246" t="s">
        <v>765</v>
      </c>
      <c r="C551" s="246"/>
      <c r="D551" s="247" t="s">
        <v>747</v>
      </c>
      <c r="E551" s="356">
        <f>(3.8*0.8)+(3.8*0.8)</f>
        <v>6.08</v>
      </c>
      <c r="F551" s="248"/>
      <c r="G551" s="165">
        <f t="shared" si="26"/>
        <v>0</v>
      </c>
    </row>
    <row r="552" spans="1:7" ht="18" x14ac:dyDescent="0.25">
      <c r="A552" s="245" t="s">
        <v>766</v>
      </c>
      <c r="B552" s="246" t="s">
        <v>767</v>
      </c>
      <c r="C552" s="246"/>
      <c r="D552" s="247" t="s">
        <v>747</v>
      </c>
      <c r="E552" s="356">
        <f>28+0.41</f>
        <v>28.41</v>
      </c>
      <c r="F552" s="248"/>
      <c r="G552" s="165">
        <f t="shared" si="26"/>
        <v>0</v>
      </c>
    </row>
    <row r="553" spans="1:7" ht="18" x14ac:dyDescent="0.25">
      <c r="A553" s="245" t="s">
        <v>768</v>
      </c>
      <c r="B553" s="246" t="s">
        <v>769</v>
      </c>
      <c r="C553" s="246"/>
      <c r="D553" s="247" t="s">
        <v>747</v>
      </c>
      <c r="E553" s="356">
        <f>(0.8*2.1*2*2)+(14.2*0.2)</f>
        <v>9.56</v>
      </c>
      <c r="F553" s="248"/>
      <c r="G553" s="165">
        <f>E553*F553</f>
        <v>0</v>
      </c>
    </row>
    <row r="554" spans="1:7" x14ac:dyDescent="0.25">
      <c r="A554" s="245" t="s">
        <v>770</v>
      </c>
      <c r="B554" s="255" t="s">
        <v>771</v>
      </c>
      <c r="C554" s="255"/>
      <c r="D554" s="247" t="s">
        <v>49</v>
      </c>
      <c r="E554" s="356">
        <v>1</v>
      </c>
      <c r="F554" s="248"/>
      <c r="G554" s="165">
        <f>E554*F554</f>
        <v>0</v>
      </c>
    </row>
    <row r="555" spans="1:7" x14ac:dyDescent="0.25">
      <c r="A555" s="153"/>
      <c r="B555" s="246"/>
      <c r="C555" s="246"/>
      <c r="D555" s="247"/>
      <c r="E555" s="356"/>
      <c r="F555" s="248"/>
      <c r="G555" s="165"/>
    </row>
    <row r="556" spans="1:7" x14ac:dyDescent="0.2">
      <c r="A556" s="154"/>
      <c r="B556" s="155" t="s">
        <v>772</v>
      </c>
      <c r="C556" s="155"/>
      <c r="D556" s="238"/>
      <c r="E556" s="353"/>
      <c r="F556" s="239"/>
      <c r="G556" s="256">
        <f>SUM(G531:G554)</f>
        <v>0</v>
      </c>
    </row>
    <row r="557" spans="1:7" x14ac:dyDescent="0.2">
      <c r="A557" s="212"/>
      <c r="B557" s="213"/>
      <c r="C557" s="213"/>
      <c r="D557" s="240"/>
      <c r="E557" s="354"/>
      <c r="F557" s="241"/>
      <c r="G557" s="257"/>
    </row>
    <row r="558" spans="1:7" s="78" customFormat="1" x14ac:dyDescent="0.25">
      <c r="A558" s="103"/>
      <c r="B558" s="104" t="s">
        <v>773</v>
      </c>
      <c r="C558" s="104"/>
      <c r="D558" s="105"/>
      <c r="E558" s="314"/>
      <c r="F558" s="105"/>
      <c r="G558" s="106">
        <f>+G556+G527+G457</f>
        <v>0</v>
      </c>
    </row>
    <row r="559" spans="1:7" s="260" customFormat="1" x14ac:dyDescent="0.25">
      <c r="A559" s="258"/>
      <c r="B559" s="60"/>
      <c r="C559" s="60"/>
      <c r="D559" s="89"/>
      <c r="E559" s="358"/>
      <c r="F559" s="89"/>
      <c r="G559" s="259"/>
    </row>
    <row r="560" spans="1:7" s="140" customFormat="1" x14ac:dyDescent="0.25">
      <c r="A560" s="39">
        <v>9</v>
      </c>
      <c r="B560" s="46" t="s">
        <v>774</v>
      </c>
      <c r="C560" s="46"/>
      <c r="D560" s="47"/>
      <c r="E560" s="292"/>
      <c r="F560" s="47"/>
      <c r="G560" s="48"/>
    </row>
    <row r="561" spans="1:7" s="140" customFormat="1" ht="30" x14ac:dyDescent="0.25">
      <c r="A561" s="245" t="s">
        <v>775</v>
      </c>
      <c r="B561" s="70" t="s">
        <v>776</v>
      </c>
      <c r="C561" s="70"/>
      <c r="D561" s="289" t="s">
        <v>777</v>
      </c>
      <c r="E561" s="359">
        <v>6</v>
      </c>
      <c r="F561" s="289"/>
      <c r="G561" s="290">
        <f>F561*E561</f>
        <v>0</v>
      </c>
    </row>
    <row r="562" spans="1:7" s="140" customFormat="1" ht="45" x14ac:dyDescent="0.25">
      <c r="A562" s="245" t="s">
        <v>778</v>
      </c>
      <c r="B562" s="70" t="s">
        <v>779</v>
      </c>
      <c r="C562" s="70"/>
      <c r="D562" s="289"/>
      <c r="E562" s="359"/>
      <c r="F562" s="289"/>
      <c r="G562" s="290"/>
    </row>
    <row r="563" spans="1:7" s="140" customFormat="1" ht="60" x14ac:dyDescent="0.25">
      <c r="A563" s="245" t="s">
        <v>780</v>
      </c>
      <c r="B563" s="70" t="s">
        <v>781</v>
      </c>
      <c r="C563" s="70"/>
      <c r="D563" s="289"/>
      <c r="E563" s="359"/>
      <c r="F563" s="289"/>
      <c r="G563" s="290"/>
    </row>
    <row r="564" spans="1:7" s="140" customFormat="1" x14ac:dyDescent="0.25">
      <c r="A564" s="245" t="s">
        <v>782</v>
      </c>
      <c r="B564" s="70" t="s">
        <v>783</v>
      </c>
      <c r="C564" s="70"/>
      <c r="D564" s="96"/>
      <c r="E564" s="359"/>
      <c r="F564" s="220"/>
      <c r="G564" s="234"/>
    </row>
    <row r="565" spans="1:7" s="140" customFormat="1" ht="14.25" x14ac:dyDescent="0.25">
      <c r="A565" s="261"/>
      <c r="B565" s="262" t="s">
        <v>784</v>
      </c>
      <c r="C565" s="262"/>
      <c r="D565" s="263"/>
      <c r="E565" s="360"/>
      <c r="F565" s="65"/>
      <c r="G565" s="264">
        <f>+G561</f>
        <v>0</v>
      </c>
    </row>
    <row r="566" spans="1:7" x14ac:dyDescent="0.25">
      <c r="A566" s="153"/>
      <c r="B566" s="198"/>
      <c r="C566" s="198"/>
      <c r="D566" s="247"/>
      <c r="E566" s="341"/>
      <c r="F566" s="248"/>
      <c r="G566" s="165"/>
    </row>
    <row r="567" spans="1:7" ht="14.25" x14ac:dyDescent="0.25">
      <c r="A567" s="265"/>
      <c r="B567" s="266" t="s">
        <v>785</v>
      </c>
      <c r="C567" s="266"/>
      <c r="D567" s="267"/>
      <c r="E567" s="361"/>
      <c r="F567" s="267"/>
      <c r="G567" s="106">
        <f>+G565+G558+G425+G407+G235+G147+G116+G65+G296</f>
        <v>0</v>
      </c>
    </row>
    <row r="568" spans="1:7" x14ac:dyDescent="0.25">
      <c r="A568" s="49"/>
      <c r="B568" s="268" t="s">
        <v>786</v>
      </c>
      <c r="C568" s="268"/>
      <c r="D568" s="51"/>
      <c r="E568" s="307"/>
      <c r="F568" s="51"/>
      <c r="G568" s="77">
        <f>G567*18/100</f>
        <v>0</v>
      </c>
    </row>
    <row r="569" spans="1:7" thickBot="1" x14ac:dyDescent="0.3">
      <c r="A569" s="269"/>
      <c r="B569" s="270" t="s">
        <v>787</v>
      </c>
      <c r="C569" s="270"/>
      <c r="D569" s="271"/>
      <c r="E569" s="362"/>
      <c r="F569" s="271"/>
      <c r="G569" s="272">
        <f>SUM(G567:G568)</f>
        <v>0</v>
      </c>
    </row>
  </sheetData>
  <sheetProtection algorithmName="SHA-512" hashValue="AEPp/JbwQ0dpWVEljjlR2VICa+nRCOG5IfnNNqxzgHmrNMeHyW+soGqSdkPwZVyCUMZ7lUXZOG5+hbWrDG7ykQ==" saltValue="9Jt+k4N/h27KfTl5joo6mQ==" spinCount="100000" sheet="1" objects="1" scenarios="1"/>
  <mergeCells count="26">
    <mergeCell ref="A56:G56"/>
    <mergeCell ref="A57:G57"/>
    <mergeCell ref="D561:D563"/>
    <mergeCell ref="F561:F563"/>
    <mergeCell ref="G561:G563"/>
    <mergeCell ref="B13:G13"/>
    <mergeCell ref="B14:G14"/>
    <mergeCell ref="B15:G15"/>
    <mergeCell ref="B17:G17"/>
    <mergeCell ref="B27:G27"/>
    <mergeCell ref="B16:G16"/>
    <mergeCell ref="B28:G28"/>
    <mergeCell ref="B29:G29"/>
    <mergeCell ref="B32:G32"/>
    <mergeCell ref="B33:G33"/>
    <mergeCell ref="B37:G37"/>
    <mergeCell ref="B43:G43"/>
    <mergeCell ref="B44:G44"/>
    <mergeCell ref="B45:G45"/>
    <mergeCell ref="B55:G55"/>
    <mergeCell ref="B30:G30"/>
    <mergeCell ref="B38:G38"/>
    <mergeCell ref="B39:G39"/>
    <mergeCell ref="B40:G40"/>
    <mergeCell ref="B41:G41"/>
    <mergeCell ref="B42:G42"/>
  </mergeCells>
  <phoneticPr fontId="7" type="noConversion"/>
  <pageMargins left="0.7" right="0.7" top="0.75" bottom="0.75" header="0.3" footer="0.3"/>
  <pageSetup scale="48" fitToHeight="0" orientation="portrait" r:id="rId1"/>
  <headerFooter>
    <oddHeader>&amp;L&amp;"Arial,Regular"&amp;7Construction Works For Busetsa Water supply sytem in Gatsibo District</oddHeader>
    <oddFooter>&amp;L&amp;"Arial Nova,Italic"&amp;10&amp;UFinal Report &amp;CPage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70986e0-9162-41c6-9d25-28faca060be2">
      <Terms xmlns="http://schemas.microsoft.com/office/infopath/2007/PartnerControls"/>
    </lcf76f155ced4ddcb4097134ff3c332f>
    <TaxCatchAll xmlns="1ca9e8b1-9f55-4e6b-a7bf-50820c9cdf8b" xsi:nil="true"/>
    <MediaLengthInSeconds xmlns="f70986e0-9162-41c6-9d25-28faca060be2" xsi:nil="true"/>
    <_Flow_SignoffStatus xmlns="f70986e0-9162-41c6-9d25-28faca060be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6CF3AA6FDEF0B428EF6C219E7389E21" ma:contentTypeVersion="12" ma:contentTypeDescription="Creare un nuovo documento." ma:contentTypeScope="" ma:versionID="6654224bfa7e9ef30b90ce61fb1eda61">
  <xsd:schema xmlns:xsd="http://www.w3.org/2001/XMLSchema" xmlns:xs="http://www.w3.org/2001/XMLSchema" xmlns:p="http://schemas.microsoft.com/office/2006/metadata/properties" xmlns:ns2="f70986e0-9162-41c6-9d25-28faca060be2" xmlns:ns3="1ca9e8b1-9f55-4e6b-a7bf-50820c9cdf8b" targetNamespace="http://schemas.microsoft.com/office/2006/metadata/properties" ma:root="true" ma:fieldsID="959085ae4c7b10365493a1da8640d89f" ns2:_="" ns3:_="">
    <xsd:import namespace="f70986e0-9162-41c6-9d25-28faca060be2"/>
    <xsd:import namespace="1ca9e8b1-9f55-4e6b-a7bf-50820c9cdf8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986e0-9162-41c6-9d25-28faca060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Tag immagine" ma:readOnly="false" ma:fieldId="{5cf76f15-5ced-4ddc-b409-7134ff3c332f}" ma:taxonomyMulti="true" ma:sspId="4b39e7e4-e8ad-4023-b7e0-8cc8f87cc07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Flow_SignoffStatus" ma:index="19" nillable="true" ma:displayName="Stato consenso" ma:internalName="Stato_x0020_consens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a9e8b1-9f55-4e6b-a7bf-50820c9cdf8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6104282-66f3-43a8-9335-9ff7e29af74b}" ma:internalName="TaxCatchAll" ma:showField="CatchAllData" ma:web="1ca9e8b1-9f55-4e6b-a7bf-50820c9cdf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B0D64F-8291-48E3-8D90-5B9E5C392D6C}">
  <ds:schemaRefs>
    <ds:schemaRef ds:uri="http://schemas.microsoft.com/sharepoint/v3/contenttype/forms"/>
  </ds:schemaRefs>
</ds:datastoreItem>
</file>

<file path=customXml/itemProps2.xml><?xml version="1.0" encoding="utf-8"?>
<ds:datastoreItem xmlns:ds="http://schemas.openxmlformats.org/officeDocument/2006/customXml" ds:itemID="{6B39CA81-852B-4F85-8D49-8FD2BD82ECD6}">
  <ds:schemaRefs>
    <ds:schemaRef ds:uri="http://schemas.microsoft.com/office/2006/metadata/properties"/>
    <ds:schemaRef ds:uri="http://schemas.microsoft.com/office/infopath/2007/PartnerControls"/>
    <ds:schemaRef ds:uri="f70986e0-9162-41c6-9d25-28faca060be2"/>
    <ds:schemaRef ds:uri="1ca9e8b1-9f55-4e6b-a7bf-50820c9cdf8b"/>
  </ds:schemaRefs>
</ds:datastoreItem>
</file>

<file path=customXml/itemProps3.xml><?xml version="1.0" encoding="utf-8"?>
<ds:datastoreItem xmlns:ds="http://schemas.openxmlformats.org/officeDocument/2006/customXml" ds:itemID="{1A5B14B6-A8AB-4652-A4BB-FC6539E087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986e0-9162-41c6-9d25-28faca060be2"/>
    <ds:schemaRef ds:uri="1ca9e8b1-9f55-4e6b-a7bf-50820c9cdf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 Busetsa</vt:lpstr>
      <vt:lpstr>'BOQ Busetsa'!Print_Area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dc:creator>
  <cp:keywords/>
  <dc:description/>
  <cp:lastModifiedBy>User</cp:lastModifiedBy>
  <cp:revision/>
  <dcterms:created xsi:type="dcterms:W3CDTF">2012-11-27T07:38:30Z</dcterms:created>
  <dcterms:modified xsi:type="dcterms:W3CDTF">2023-08-23T12:38:05Z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0x01010066CF3AA6FDEF0B428EF6C219E7389E21</vt:lpwstr>
  </property>
  <property fmtid="{D5CDD505-2E9C-101B-9397-08002B2CF9AE}" pid="3" name="MediaServiceImageTags">
    <vt:lpwstr/>
  </property>
  <property fmtid="{D5CDD505-2E9C-101B-9397-08002B2CF9AE}" pid="4" name="Order">
    <vt:r8>625000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SourceUrl">
    <vt:lpwstr/>
  </property>
  <property fmtid="{D5CDD505-2E9C-101B-9397-08002B2CF9AE}" pid="12" name="_SharedFileIndex">
    <vt:lpwstr/>
  </property>
</Properties>
</file>